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75" windowWidth="19320" windowHeight="850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D131" i="1"/>
  <c r="D129"/>
  <c r="D128"/>
  <c r="D126" s="1"/>
  <c r="D125"/>
  <c r="D124"/>
  <c r="D121"/>
  <c r="D120"/>
  <c r="D119"/>
  <c r="D117"/>
  <c r="D116"/>
  <c r="D111"/>
  <c r="D107"/>
  <c r="D106"/>
  <c r="D105"/>
  <c r="D103"/>
  <c r="D100"/>
  <c r="D99" s="1"/>
  <c r="D98"/>
  <c r="D97" s="1"/>
  <c r="D83"/>
  <c r="D81"/>
  <c r="D80" s="1"/>
  <c r="D74"/>
  <c r="D72"/>
  <c r="D70"/>
  <c r="D69"/>
  <c r="D59"/>
  <c r="D56"/>
  <c r="D55"/>
  <c r="D51"/>
  <c r="D48"/>
  <c r="D46"/>
  <c r="D44"/>
  <c r="D39"/>
  <c r="D37"/>
  <c r="D34"/>
  <c r="D31"/>
  <c r="D28"/>
  <c r="D27"/>
  <c r="D26"/>
  <c r="D25"/>
  <c r="D21"/>
  <c r="D20"/>
  <c r="D19"/>
  <c r="C130"/>
  <c r="C110"/>
  <c r="C109" s="1"/>
  <c r="C108" s="1"/>
  <c r="C97"/>
  <c r="C47"/>
  <c r="C129"/>
  <c r="C126" s="1"/>
  <c r="C128"/>
  <c r="C125"/>
  <c r="C124"/>
  <c r="C121"/>
  <c r="C120"/>
  <c r="C119"/>
  <c r="C117"/>
  <c r="C116"/>
  <c r="C115" s="1"/>
  <c r="C114" s="1"/>
  <c r="C112" s="1"/>
  <c r="C111"/>
  <c r="C107"/>
  <c r="C106"/>
  <c r="C105"/>
  <c r="C103"/>
  <c r="C100"/>
  <c r="C99" s="1"/>
  <c r="C98"/>
  <c r="C83"/>
  <c r="C81"/>
  <c r="C74"/>
  <c r="C73" s="1"/>
  <c r="C72"/>
  <c r="C71" s="1"/>
  <c r="C70"/>
  <c r="C69"/>
  <c r="C66"/>
  <c r="C65" s="1"/>
  <c r="C64" s="1"/>
  <c r="C59"/>
  <c r="C58" s="1"/>
  <c r="C57" s="1"/>
  <c r="C56"/>
  <c r="C54" s="1"/>
  <c r="C53" s="1"/>
  <c r="C55"/>
  <c r="C51"/>
  <c r="C50" s="1"/>
  <c r="C49" s="1"/>
  <c r="C48"/>
  <c r="C46"/>
  <c r="C45" s="1"/>
  <c r="C44"/>
  <c r="C43" s="1"/>
  <c r="C39"/>
  <c r="C38" s="1"/>
  <c r="C37"/>
  <c r="C36" s="1"/>
  <c r="C34"/>
  <c r="C33" s="1"/>
  <c r="C31"/>
  <c r="C30" s="1"/>
  <c r="C29" s="1"/>
  <c r="C27"/>
  <c r="C26"/>
  <c r="C25"/>
  <c r="C24" s="1"/>
  <c r="C23" s="1"/>
  <c r="D22"/>
  <c r="C21"/>
  <c r="C20"/>
  <c r="C19"/>
  <c r="C18" s="1"/>
  <c r="C17" s="1"/>
  <c r="D130"/>
  <c r="F89"/>
  <c r="E92"/>
  <c r="D101"/>
  <c r="C101"/>
  <c r="D62"/>
  <c r="C62"/>
  <c r="C79" l="1"/>
  <c r="C61"/>
  <c r="C84"/>
  <c r="C78" s="1"/>
  <c r="C77" s="1"/>
  <c r="C80"/>
  <c r="D54"/>
  <c r="D18"/>
  <c r="C68"/>
  <c r="C52"/>
  <c r="C42"/>
  <c r="C41" s="1"/>
  <c r="C35"/>
  <c r="C32" s="1"/>
  <c r="D92"/>
  <c r="D84" s="1"/>
  <c r="D75"/>
  <c r="C75"/>
  <c r="C16" l="1"/>
  <c r="C14" s="1"/>
  <c r="D71"/>
  <c r="D45"/>
  <c r="D115"/>
  <c r="D114" s="1"/>
  <c r="D47"/>
  <c r="D58"/>
  <c r="D38"/>
  <c r="D36"/>
  <c r="D79"/>
  <c r="D82"/>
  <c r="D110"/>
  <c r="D109" s="1"/>
  <c r="D108" s="1"/>
  <c r="C82"/>
  <c r="D73"/>
  <c r="D65"/>
  <c r="D53"/>
  <c r="D50"/>
  <c r="D43"/>
  <c r="D33"/>
  <c r="D24"/>
  <c r="D23" s="1"/>
  <c r="D17"/>
  <c r="D30"/>
  <c r="D68" l="1"/>
  <c r="D49"/>
  <c r="D57"/>
  <c r="D64"/>
  <c r="D29"/>
  <c r="D42"/>
  <c r="D112"/>
  <c r="D35"/>
  <c r="D41" l="1"/>
  <c r="D61"/>
  <c r="D52"/>
  <c r="D78"/>
  <c r="D77" s="1"/>
  <c r="D32"/>
  <c r="D16" l="1"/>
  <c r="D14" l="1"/>
</calcChain>
</file>

<file path=xl/sharedStrings.xml><?xml version="1.0" encoding="utf-8"?>
<sst xmlns="http://schemas.openxmlformats.org/spreadsheetml/2006/main" count="250" uniqueCount="237">
  <si>
    <t xml:space="preserve">         Исполнено</t>
  </si>
  <si>
    <t xml:space="preserve">Код дохода </t>
  </si>
  <si>
    <t xml:space="preserve">Утвержденные </t>
  </si>
  <si>
    <t xml:space="preserve">через </t>
  </si>
  <si>
    <t xml:space="preserve"> Наименование показателя</t>
  </si>
  <si>
    <t xml:space="preserve">по бюджетной </t>
  </si>
  <si>
    <t xml:space="preserve">бюджетные </t>
  </si>
  <si>
    <t>финансовые</t>
  </si>
  <si>
    <t>назначения</t>
  </si>
  <si>
    <t>классификации</t>
  </si>
  <si>
    <t>органы</t>
  </si>
  <si>
    <t>4</t>
  </si>
  <si>
    <t>5</t>
  </si>
  <si>
    <t>Доходы - всего</t>
  </si>
  <si>
    <t>х</t>
  </si>
  <si>
    <t>-</t>
  </si>
  <si>
    <t>в том числе:</t>
  </si>
  <si>
    <t>НАЛОГОВЫЕ И НЕНАЛОГОВЫЕ ДОХОДЫ</t>
  </si>
  <si>
    <t>10010000000000000000</t>
  </si>
  <si>
    <t>НАЛОГИ НА ПРИБЫЛЬ, ДОХОДЫ</t>
  </si>
  <si>
    <t>10010100000000000000</t>
  </si>
  <si>
    <t>Налог на доходы физических лиц</t>
  </si>
  <si>
    <t>10010102000010000110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</si>
  <si>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</si>
  <si>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</si>
  <si>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</si>
  <si>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</si>
  <si>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</si>
  <si>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18210102030010000110</t>
  </si>
  <si>
    <t>НАЛОГИ НА ТОВАРЫ (РАБОТЫ, УСЛУГИ), РЕАЛИЗУЕМЫЕ НА ТЕРРИТОРИИ РОССИЙСКОЙ ФЕДЕРАЦИИ</t>
  </si>
  <si>
    <t>10010300000000000000</t>
  </si>
  <si>
    <t>Акцизы по подакцизным товарам (продукции), производимым на территории Российской Федерации</t>
  </si>
  <si>
    <t>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</si>
  <si>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</si>
  <si>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</si>
  <si>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</si>
  <si>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</si>
  <si>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</si>
  <si>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18210500000000000000</t>
  </si>
  <si>
    <t>Единый сельскохозяйственный налог</t>
  </si>
  <si>
    <t>18210503000010000110</t>
  </si>
  <si>
    <t>18210503010010000110</t>
  </si>
  <si>
    <t>НАЛОГИ НА ИМУЩЕСТВО</t>
  </si>
  <si>
    <t>18210600000000000000</t>
  </si>
  <si>
    <t>Налог на имущество физических лиц</t>
  </si>
  <si>
    <t>18210601000000000110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</si>
  <si>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</si>
  <si>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18210601030130000110</t>
  </si>
  <si>
    <t>Земельный налог</t>
  </si>
  <si>
    <t>18210606000000000110</t>
  </si>
  <si>
    <t>Земельный налог с организаций</t>
  </si>
  <si>
    <t>18210606030000000110</t>
  </si>
  <si>
    <t>Земельный налог с организаций, обладающих земельным участком, расположенным в границах городских  поселений</t>
  </si>
  <si>
    <t>18210606033130000110</t>
  </si>
  <si>
    <t>Земельный налог с физических лиц</t>
  </si>
  <si>
    <t>18210606040000000110</t>
  </si>
  <si>
    <t>Земельный налог с физических лиц, обладающих земельным участком, расположенным в границах  городских  поселений</t>
  </si>
  <si>
    <t>18210606043130000110</t>
  </si>
  <si>
    <t>ДОХОДЫ ОТ ИСПОЛЬЗОВАНИЯ ИМУЩЕСТВА, НАХОДЯЩЕГОСЯ В ГОСУДАРСТВЕННОЙ И МУНИЦИПАЛЬНОЙ СОБСТВЕННОСТИ</t>
  </si>
  <si>
    <t>91911100000000000000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</si>
  <si>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</si>
  <si>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91911105000000000120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</si>
  <si>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</si>
  <si>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91911105010000000120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</si>
  <si>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</si>
  <si>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91911105013130000120</t>
  </si>
  <si>
    <t>97711105070000000120</t>
  </si>
  <si>
    <t xml:space="preserve">Доходы от сдачи в аренду имущества, составляющего казну городских поселений (за исключением земельных участков) </t>
  </si>
  <si>
    <t>97711105075130000120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</si>
  <si>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</si>
  <si>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97711109000000000120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</si>
  <si>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</si>
  <si>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97711109040000000120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</si>
  <si>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</si>
  <si>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97711109045130000120</t>
  </si>
  <si>
    <t>ДОХОДЫ ОТ ОКАЗАНИЯ ПЛАТНЫХ УСЛУГ (РАБОТ) И КОМПЕНСАЦИИ ЗАТРАТ ГОСУДАРСТВА</t>
  </si>
  <si>
    <t>97711300000000000000</t>
  </si>
  <si>
    <t>Доходы от оказания платных услуг (работ)</t>
  </si>
  <si>
    <t>97711301000000000130</t>
  </si>
  <si>
    <t>Прочие доходы от оказания платных услуг (работ)</t>
  </si>
  <si>
    <t>97711301990000000130</t>
  </si>
  <si>
    <t>Прочие доходы от оказания платных услуг (работ) получателями средств бюджетов городских поселений</t>
  </si>
  <si>
    <t>97711301995130000130</t>
  </si>
  <si>
    <t>ДОХОДЫ ОТ ПРОДАЖИ МАТЕРИАЛЬНЫХ И НЕМАТЕРИАЛЬНЫХ АКТИВОВ</t>
  </si>
  <si>
    <t>91911400000000000000</t>
  </si>
  <si>
    <t>Доходы от продажи земельных участков, находящихся в государственной и муниципальной собственности</t>
  </si>
  <si>
    <t>91911406000000000430</t>
  </si>
  <si>
    <t>Доходы от продажи земельных участков, государственная собственность на которые не разграничена</t>
  </si>
  <si>
    <t>91911406010000000430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</si>
  <si>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</si>
  <si>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91911406013130000430</t>
  </si>
  <si>
    <t>ШТРАФЫ, САНКЦИИ, ВОЗМЕЩЕНИЕ УЩЕРБА</t>
  </si>
  <si>
    <t>97711600000000000000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</si>
  <si>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</si>
  <si>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97711651000020000140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</si>
  <si>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</si>
  <si>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97711651040020000140</t>
  </si>
  <si>
    <t>Прочие поступления от денежных взысканий (штрафов) и иных сумм в возмещение ущерба</t>
  </si>
  <si>
    <t>97711690000000000140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</si>
  <si>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</si>
  <si>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97711690050130000140</t>
  </si>
  <si>
    <t>БЕЗВОЗМЕЗДНЫЕ ПОСТУПЛЕНИЯ</t>
  </si>
  <si>
    <t>97720000000000000000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</si>
  <si>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</si>
  <si>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</si>
  <si>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</si>
  <si>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</si>
  <si>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</si>
  <si>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</si>
  <si>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</si>
  <si>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</si>
  <si>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</si>
  <si>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</si>
  <si>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</si>
  <si>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</si>
  <si>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поселений</t>
  </si>
  <si>
    <t>97720215002000000151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</si>
  <si>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</si>
  <si>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97720220077000000151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</si>
  <si>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</si>
  <si>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97720220077130000151</t>
  </si>
  <si>
    <t>Иные межбюджетные трансферты бюджетам городских поселений для реализации мероприятий по муниципальной целевой программе "Развитие культуры в Лузском районе"</t>
  </si>
  <si>
    <t xml:space="preserve">Субвенции бюджетам городских поселений на выполнение государственных полномочий по созданию и деятельности в муниципальных образованиях административной (ых) комиссии (ий) </t>
  </si>
  <si>
    <t>Доходы,поступающие в порядке возмещения расходов,понесенных в связи с эксплуатацией имущества городских поселений</t>
  </si>
  <si>
    <t>97711302065130000130</t>
  </si>
  <si>
    <t xml:space="preserve">Доходы,поступающие в порядке возмещения расходов,понесенных в связи с эксплуатацией имущества </t>
  </si>
  <si>
    <t>Доходы от компенсации затрат государства</t>
  </si>
  <si>
    <t>97711302060000000130</t>
  </si>
  <si>
    <t>97711302000000000130</t>
  </si>
  <si>
    <t>97720220077139101151</t>
  </si>
  <si>
    <t>Субсидии бюджетам городских поселений на софинансирование капитальных вложений в объекты дорожной инфраструктуры, находящихся в муниципальной собственности</t>
  </si>
  <si>
    <t>97720220216131700151</t>
  </si>
  <si>
    <t>Иные межбюджетные трансферты на реализацию мероприятий муниципальной программы "Развитие транспортной системы"</t>
  </si>
  <si>
    <t>Прочие безвозмездные поступление</t>
  </si>
  <si>
    <t>97720700000000000000</t>
  </si>
  <si>
    <t>Безвозмездные поступления от физических и юридических лиц на финансовое обеспечение дорожной деятельности,в том числе добровольных пожертвований, в отношении автомобильных дорог общего пользования местного значения городских поселений</t>
  </si>
  <si>
    <t>97720705010130000180</t>
  </si>
  <si>
    <t>Субсидии бюджетам городских поселений на государственную поддержку малого и среднего предпринимательства. включая крестьянские (фермерские) хозяйства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</si>
  <si>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</si>
  <si>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97720249999131400151</t>
  </si>
  <si>
    <t>Иные межбюджетные трансферты бюджетам городских поселений на реализацию мероприятий униципальной программы "Развитие малого и среднего предпринимательства"</t>
  </si>
  <si>
    <t>97720225527130000151</t>
  </si>
  <si>
    <t>Субсидии бюджетам городских поселений на поддержку государственных программ субьектов Российской Федерации и муниципальных программ формирования современной городской среды</t>
  </si>
  <si>
    <t>97720225527100000151</t>
  </si>
  <si>
    <t>97720200000000000000</t>
  </si>
  <si>
    <t>97711105025130000120</t>
  </si>
  <si>
    <t>97711705050130000180</t>
  </si>
  <si>
    <t>Прочие неналоговые доходы бюджетов городских поселений</t>
  </si>
  <si>
    <t>Прочие неналоговые доходы</t>
  </si>
  <si>
    <t>97711705000000000180</t>
  </si>
  <si>
    <t>Прочие безвозмездные поступления в бюджеты городских поселений</t>
  </si>
  <si>
    <t>Субсидия бюджетам городских поселений на поддержку отрасли культуры</t>
  </si>
  <si>
    <t>Субсидии бюджетам городских поселений на выравнивание обеспеченности муниципальных образований по реализации ими их отдельных полномочий</t>
  </si>
  <si>
    <t>97720225519100000151</t>
  </si>
  <si>
    <t>Субсидии бюджетам городских поселений строительство и (или) реконструкцию обьектов коммунальной инфраструктуры, находящихся в муниципальной собственности, в целях реализации инвестиционных проектов, направленных на модернизацию экономики моногородов с наиболее сложным социально-экономическим положением</t>
  </si>
  <si>
    <t>Субсидии бюджетам городских поселений на осуществление дорожной деятельности в отношении автомобильных дорог общего пользования местного значения.</t>
  </si>
  <si>
    <t xml:space="preserve">  97720220229139201151</t>
  </si>
  <si>
    <t>Прочие доходы от компенсации затрат бюджетов городских поселений</t>
  </si>
  <si>
    <t>97711302995130000130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</si>
  <si>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учреждений), а также имущества государственных и муниципальных унитарных предприятий в том числе казенных</t>
  </si>
  <si>
    <t>91911402000000000000</t>
  </si>
  <si>
    <t>91911402053130000410</t>
  </si>
  <si>
    <t>Иные межбюджетные трансферты бюджетам поселений на реализацию муниципальной программы Лузского района Кировской области "Развитие коммунальной и жилищной инфраструктуры"</t>
  </si>
  <si>
    <t>97720249999138200151</t>
  </si>
  <si>
    <t>Иные межбюджетные трансферты бюджетам городских поселений на реализацию мероприятий муниципальной программы Лузского района Кировской области "Энергоэффективность и развитие энергетики"</t>
  </si>
  <si>
    <t>97720225560130000151</t>
  </si>
  <si>
    <t xml:space="preserve">Субсидии бюджетам городских поселений на поддержку обустройства мест массового отдыха населения (городских парков) </t>
  </si>
  <si>
    <t>Субсидии бюджетам городских поселений на софинансирование инвестиционных программ и проектов развития общественной инфраструктуры муниципальных образований в Кировской области</t>
  </si>
  <si>
    <t xml:space="preserve">  97720220229139202151</t>
  </si>
  <si>
    <t>97720225560000000151</t>
  </si>
  <si>
    <t>Перечисления из бюджетов городских поселений 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</si>
  <si>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Субсидии бюджетам городских поселений на строительство и (или) реконструкцию обьектов коммунальной инфраструктуры находящихся в муниципальной собственности в целях реализации инвестиционных проектов направленных на модернизацию экономики моногородов с наиболее сложным социально-экономическим положением  </t>
  </si>
  <si>
    <t>97720249999138100151</t>
  </si>
  <si>
    <t>Иные межбюджетные трансферты бюджетам городских поселений на реализацию мероприятий муниципальной программы Лузского района Кировской области "Развитие архитектуры и градостроительства"</t>
  </si>
  <si>
    <t>Субсидии бюджетам городских поселений на государственную поддержку малого и среднего предпринимательства. включая крестьянские (фермерские) хозяйства, а также на реализацию мероприятий по поддержке молодежного предпринимательства</t>
  </si>
  <si>
    <t>97720220302130000151</t>
  </si>
  <si>
    <t>97720220299130000151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</si>
  <si>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</si>
  <si>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-Фонда содействия реформированию жилищно-коммунального хозяйства</t>
  </si>
  <si>
    <t>Возврат прочих остатков субсидий,субвенций и иных межбюджетных трансфертов, имеющих целевое назначение прошлых лет из бюджетов городских поселений</t>
  </si>
  <si>
    <t>97721900000000000000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</si>
  <si>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</si>
  <si>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97720245144130000151</t>
  </si>
  <si>
    <t>Межбюджетные трансферты,передаваемые бюджетам городских поселений на комплектование книжных фондов библиотек муниципальных образований</t>
  </si>
  <si>
    <t>97720225519130000151</t>
  </si>
  <si>
    <t>Субсидии бюджетам городских поселений на реализацию мероприятий направленных на подготовку обьектов коммунальной инфраструктуры к работе в осенне-зимний период</t>
  </si>
  <si>
    <t>97720229999131600151</t>
  </si>
  <si>
    <t>97711301995135000130</t>
  </si>
  <si>
    <t>Субсидии бюджетам городских поселений на повышение оплаты труда работникам муниципальных учреждений и органов местного самоуправления</t>
  </si>
  <si>
    <t>18210102050012100110</t>
  </si>
  <si>
    <t>Налог на доходы физических лиц с сумм прибыли контролируемой иностранной компании , полученной физическими лицами, признаваемыми контролирующими лицами этой компании</t>
  </si>
  <si>
    <t>10010302231010000110</t>
  </si>
  <si>
    <t>10010302241010000110</t>
  </si>
  <si>
    <t>10010302251010000110</t>
  </si>
  <si>
    <t>10010302261010000110</t>
  </si>
  <si>
    <t>97721960010130000150</t>
  </si>
  <si>
    <t>97720249999138400150</t>
  </si>
  <si>
    <t>97720249999138300150</t>
  </si>
  <si>
    <t>97720249999130000150</t>
  </si>
  <si>
    <t>97720249999000000150</t>
  </si>
  <si>
    <t>97720240000000000150</t>
  </si>
  <si>
    <t>97720230024132400150</t>
  </si>
  <si>
    <t>97720230024130000150</t>
  </si>
  <si>
    <t>97720230024000000150</t>
  </si>
  <si>
    <t>97720230000000000150</t>
  </si>
  <si>
    <t>97720229999137000150</t>
  </si>
  <si>
    <t>97720229999131700150</t>
  </si>
  <si>
    <t>97720229999131400150</t>
  </si>
  <si>
    <t>97720225555130000150</t>
  </si>
  <si>
    <t>97720225555000000150</t>
  </si>
  <si>
    <t>97720220000000000150</t>
  </si>
  <si>
    <t>97720215001130000150</t>
  </si>
  <si>
    <t>97720215001000000150</t>
  </si>
  <si>
    <t>97720210000000000150</t>
  </si>
  <si>
    <t>97720705030130000150</t>
  </si>
  <si>
    <t>97720705020130000150</t>
  </si>
  <si>
    <t>97720249999131200150</t>
  </si>
  <si>
    <t>97720215002130000150</t>
  </si>
  <si>
    <t>97711105025000000120</t>
  </si>
  <si>
    <t>97720249999131300150</t>
  </si>
  <si>
    <t>Иные межбюджетные трансферты, передаваемые бюджетам городских поселений на реализацию муниципальной программы "Развитие муниципального управления "</t>
  </si>
  <si>
    <t>Иные межбюджетные трансферты, передаваемые бюджетам городских поселений на создание мест  (площадок) накопления твердых коммунальных отходов</t>
  </si>
  <si>
    <t>97720249999138000151</t>
  </si>
  <si>
    <t>Иные межбюджетные трансферты, передаваемые бюджетам городских поселений на реализацию мероприятий по муниципальной программе  Лузского района Кировской области "Охрана окружающей среды, воспроизводство и использование природных ресурсов"</t>
  </si>
  <si>
    <t>97720225519130000150</t>
  </si>
  <si>
    <t>97720249999131700150</t>
  </si>
  <si>
    <t>Иные межбюджетные трансферты бюджетам городских поселений на осуществление единовременной социальной выплаты  гражданам, пострадавшим в результате пожара из резервного фонда администрации Лузского района Кировской области</t>
  </si>
  <si>
    <t>97720229999132000150</t>
  </si>
  <si>
    <t>Субсидии бюджетам городских поселений на осуществление единовремнной социальной выплаты гражданам, пострадавшим в результате пожара из резервного фонда Правительства Кировской области</t>
  </si>
  <si>
    <t>81211633050130000140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</si>
  <si>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</si>
  <si>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97720249999131600150</t>
  </si>
  <si>
    <t>Приложение №1</t>
  </si>
  <si>
    <t>Лузского городского поселения</t>
  </si>
  <si>
    <t xml:space="preserve">          Доходы бюджета Лузского городского поселения по кодам классификации доходов бюджета за 2019 год</t>
  </si>
  <si>
    <t>от 01.10.2020 № 60-222/2</t>
  </si>
  <si>
    <t xml:space="preserve">к решению Собрания депутатов </t>
  </si>
</sst>
</file>

<file path=xl/styles.xml><?xml version="1.0" encoding="utf-8"?>
<styleSheet xmlns="http://schemas.openxmlformats.org/spreadsheetml/2006/main">
  <numFmts count="2">
    <numFmt numFmtId="164" formatCode="#,##0.00_ ;\-#,##0.00\ "/>
    <numFmt numFmtId="165" formatCode="000000"/>
  </numFmts>
  <fonts count="3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rgb="FF000000"/>
      <name val="Arial"/>
      <family val="2"/>
    </font>
    <font>
      <b/>
      <sz val="7.5"/>
      <name val="Arial Cyr"/>
      <family val="2"/>
      <charset val="204"/>
    </font>
    <font>
      <sz val="7.5"/>
      <name val="Arial Cyr"/>
      <family val="2"/>
      <charset val="204"/>
    </font>
    <font>
      <sz val="7.5"/>
      <name val="Calibri"/>
      <family val="2"/>
      <charset val="204"/>
    </font>
    <font>
      <sz val="7.5"/>
      <color theme="1"/>
      <name val="Calibri"/>
      <family val="2"/>
      <charset val="204"/>
      <scheme val="minor"/>
    </font>
    <font>
      <sz val="7.5"/>
      <name val="Arial Cyr"/>
      <charset val="204"/>
    </font>
    <font>
      <sz val="7.5"/>
      <color rgb="FF000000"/>
      <name val="Arial"/>
      <family val="2"/>
    </font>
    <font>
      <b/>
      <sz val="7.5"/>
      <color rgb="FF000000"/>
      <name val="Arial"/>
      <family val="2"/>
      <charset val="204"/>
    </font>
    <font>
      <sz val="7.5"/>
      <name val="Arial"/>
      <family val="2"/>
    </font>
    <font>
      <b/>
      <sz val="7.5"/>
      <name val="Arial"/>
      <family val="2"/>
      <charset val="204"/>
    </font>
    <font>
      <sz val="7.5"/>
      <name val="Arial"/>
      <family val="2"/>
      <charset val="204"/>
    </font>
    <font>
      <i/>
      <sz val="9"/>
      <color rgb="FF000000"/>
      <name val="Cambria"/>
      <family val="2"/>
    </font>
    <font>
      <u/>
      <sz val="7.5"/>
      <color theme="1"/>
      <name val="Calibri"/>
      <family val="2"/>
      <charset val="204"/>
      <scheme val="minor"/>
    </font>
    <font>
      <sz val="7.5"/>
      <color rgb="FFFF0000"/>
      <name val="Arial"/>
      <family val="2"/>
    </font>
    <font>
      <sz val="2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7.5"/>
      <color rgb="FFFF0000"/>
      <name val="Calibri"/>
      <family val="2"/>
      <charset val="204"/>
      <scheme val="minor"/>
    </font>
    <font>
      <b/>
      <sz val="7.5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/>
      <bottom/>
      <diagonal/>
    </border>
  </borders>
  <cellStyleXfs count="11">
    <xf numFmtId="0" fontId="0" fillId="0" borderId="0"/>
    <xf numFmtId="0" fontId="2" fillId="0" borderId="13">
      <alignment horizontal="left" wrapText="1"/>
    </xf>
    <xf numFmtId="49" fontId="2" fillId="0" borderId="14">
      <alignment horizontal="center" shrinkToFit="1"/>
    </xf>
    <xf numFmtId="49" fontId="2" fillId="0" borderId="15">
      <alignment horizontal="center"/>
    </xf>
    <xf numFmtId="4" fontId="2" fillId="0" borderId="16">
      <alignment horizontal="right" vertical="center" shrinkToFit="1"/>
    </xf>
    <xf numFmtId="4" fontId="2" fillId="0" borderId="15">
      <alignment horizontal="right" shrinkToFit="1"/>
    </xf>
    <xf numFmtId="4" fontId="2" fillId="0" borderId="17">
      <alignment horizontal="right" vertical="center" shrinkToFit="1"/>
    </xf>
    <xf numFmtId="4" fontId="2" fillId="0" borderId="18">
      <alignment horizontal="right" shrinkToFit="1"/>
    </xf>
    <xf numFmtId="0" fontId="1" fillId="0" borderId="0"/>
    <xf numFmtId="49" fontId="13" fillId="0" borderId="22">
      <alignment horizontal="left" vertical="center" wrapText="1" indent="1"/>
    </xf>
    <xf numFmtId="1" fontId="13" fillId="0" borderId="23">
      <alignment horizontal="center" vertical="center" shrinkToFit="1"/>
    </xf>
  </cellStyleXfs>
  <cellXfs count="134">
    <xf numFmtId="0" fontId="0" fillId="0" borderId="0" xfId="0"/>
    <xf numFmtId="0" fontId="6" fillId="0" borderId="0" xfId="0" applyFont="1"/>
    <xf numFmtId="0" fontId="6" fillId="0" borderId="0" xfId="0" applyFont="1" applyBorder="1"/>
    <xf numFmtId="0" fontId="4" fillId="2" borderId="0" xfId="8" applyFont="1" applyFill="1" applyBorder="1" applyAlignment="1">
      <alignment horizontal="left" wrapText="1"/>
    </xf>
    <xf numFmtId="49" fontId="4" fillId="2" borderId="0" xfId="8" applyNumberFormat="1" applyFont="1" applyFill="1" applyBorder="1" applyAlignment="1">
      <alignment horizontal="center"/>
    </xf>
    <xf numFmtId="49" fontId="7" fillId="2" borderId="0" xfId="8" applyNumberFormat="1" applyFont="1" applyFill="1" applyBorder="1" applyAlignment="1">
      <alignment horizontal="center"/>
    </xf>
    <xf numFmtId="0" fontId="7" fillId="2" borderId="0" xfId="8" applyNumberFormat="1" applyFont="1" applyFill="1" applyBorder="1"/>
    <xf numFmtId="0" fontId="4" fillId="3" borderId="0" xfId="8" applyFont="1" applyFill="1"/>
    <xf numFmtId="0" fontId="6" fillId="3" borderId="0" xfId="0" applyFont="1" applyFill="1"/>
    <xf numFmtId="0" fontId="6" fillId="0" borderId="7" xfId="0" applyFont="1" applyBorder="1"/>
    <xf numFmtId="0" fontId="6" fillId="0" borderId="1" xfId="0" applyFont="1" applyBorder="1"/>
    <xf numFmtId="0" fontId="16" fillId="3" borderId="0" xfId="0" applyFont="1" applyFill="1"/>
    <xf numFmtId="0" fontId="4" fillId="3" borderId="0" xfId="8" applyFont="1" applyFill="1" applyBorder="1" applyAlignment="1">
      <alignment horizontal="left" wrapText="1"/>
    </xf>
    <xf numFmtId="0" fontId="7" fillId="3" borderId="0" xfId="8" applyNumberFormat="1" applyFont="1" applyFill="1" applyBorder="1" applyAlignment="1">
      <alignment horizontal="left"/>
    </xf>
    <xf numFmtId="0" fontId="6" fillId="3" borderId="0" xfId="0" applyFont="1" applyFill="1" applyBorder="1"/>
    <xf numFmtId="4" fontId="9" fillId="3" borderId="0" xfId="5" applyNumberFormat="1" applyFont="1" applyFill="1" applyBorder="1" applyProtection="1">
      <alignment horizontal="right" shrinkToFit="1"/>
    </xf>
    <xf numFmtId="4" fontId="11" fillId="3" borderId="0" xfId="5" applyNumberFormat="1" applyFont="1" applyFill="1" applyBorder="1" applyProtection="1">
      <alignment horizontal="right" shrinkToFit="1"/>
    </xf>
    <xf numFmtId="0" fontId="17" fillId="3" borderId="0" xfId="0" applyFont="1" applyFill="1" applyBorder="1"/>
    <xf numFmtId="4" fontId="8" fillId="3" borderId="0" xfId="7" applyNumberFormat="1" applyFont="1" applyFill="1" applyBorder="1" applyProtection="1">
      <alignment horizontal="right" shrinkToFit="1"/>
    </xf>
    <xf numFmtId="4" fontId="6" fillId="0" borderId="0" xfId="0" applyNumberFormat="1" applyFont="1"/>
    <xf numFmtId="4" fontId="8" fillId="3" borderId="0" xfId="5" applyNumberFormat="1" applyFont="1" applyFill="1" applyBorder="1" applyProtection="1">
      <alignment horizontal="right" shrinkToFit="1"/>
    </xf>
    <xf numFmtId="0" fontId="18" fillId="0" borderId="0" xfId="0" applyFont="1" applyBorder="1"/>
    <xf numFmtId="0" fontId="14" fillId="3" borderId="0" xfId="0" applyFont="1" applyFill="1"/>
    <xf numFmtId="4" fontId="6" fillId="3" borderId="0" xfId="0" applyNumberFormat="1" applyFont="1" applyFill="1"/>
    <xf numFmtId="0" fontId="6" fillId="3" borderId="1" xfId="0" applyFont="1" applyFill="1" applyBorder="1"/>
    <xf numFmtId="0" fontId="4" fillId="3" borderId="0" xfId="8" applyFont="1" applyFill="1" applyAlignment="1"/>
    <xf numFmtId="0" fontId="3" fillId="3" borderId="0" xfId="8" applyFont="1" applyFill="1" applyAlignment="1"/>
    <xf numFmtId="0" fontId="18" fillId="3" borderId="0" xfId="0" applyFont="1" applyFill="1" applyBorder="1"/>
    <xf numFmtId="0" fontId="5" fillId="3" borderId="0" xfId="0" applyFont="1" applyFill="1"/>
    <xf numFmtId="0" fontId="7" fillId="3" borderId="0" xfId="8" applyFont="1" applyFill="1"/>
    <xf numFmtId="4" fontId="15" fillId="3" borderId="0" xfId="5" applyNumberFormat="1" applyFont="1" applyFill="1" applyBorder="1" applyProtection="1">
      <alignment horizontal="right" shrinkToFit="1"/>
    </xf>
    <xf numFmtId="0" fontId="19" fillId="3" borderId="0" xfId="0" applyFont="1" applyFill="1"/>
    <xf numFmtId="0" fontId="19" fillId="0" borderId="0" xfId="0" applyFont="1"/>
    <xf numFmtId="0" fontId="3" fillId="3" borderId="0" xfId="8" applyNumberFormat="1" applyFont="1" applyFill="1"/>
    <xf numFmtId="4" fontId="19" fillId="0" borderId="0" xfId="0" applyNumberFormat="1" applyFont="1"/>
    <xf numFmtId="0" fontId="4" fillId="3" borderId="0" xfId="8" applyFont="1" applyFill="1" applyAlignment="1"/>
    <xf numFmtId="0" fontId="20" fillId="3" borderId="8" xfId="8" applyFont="1" applyFill="1" applyBorder="1" applyAlignment="1">
      <alignment horizontal="left"/>
    </xf>
    <xf numFmtId="0" fontId="20" fillId="3" borderId="8" xfId="8" applyFont="1" applyFill="1" applyBorder="1" applyAlignment="1">
      <alignment horizontal="center"/>
    </xf>
    <xf numFmtId="49" fontId="20" fillId="3" borderId="8" xfId="8" applyNumberFormat="1" applyFont="1" applyFill="1" applyBorder="1" applyAlignment="1">
      <alignment horizontal="center" vertical="center"/>
    </xf>
    <xf numFmtId="0" fontId="20" fillId="3" borderId="10" xfId="8" applyFont="1" applyFill="1" applyBorder="1" applyAlignment="1">
      <alignment horizontal="center"/>
    </xf>
    <xf numFmtId="0" fontId="20" fillId="3" borderId="11" xfId="8" applyFont="1" applyFill="1" applyBorder="1" applyAlignment="1">
      <alignment horizontal="center"/>
    </xf>
    <xf numFmtId="49" fontId="20" fillId="3" borderId="10" xfId="8" applyNumberFormat="1" applyFont="1" applyFill="1" applyBorder="1" applyAlignment="1">
      <alignment horizontal="center" vertical="center"/>
    </xf>
    <xf numFmtId="49" fontId="20" fillId="3" borderId="11" xfId="8" applyNumberFormat="1" applyFont="1" applyFill="1" applyBorder="1" applyAlignment="1">
      <alignment horizontal="center" vertical="center"/>
    </xf>
    <xf numFmtId="0" fontId="20" fillId="3" borderId="10" xfId="8" applyFont="1" applyFill="1" applyBorder="1" applyAlignment="1">
      <alignment horizontal="left"/>
    </xf>
    <xf numFmtId="0" fontId="20" fillId="3" borderId="5" xfId="8" applyFont="1" applyFill="1" applyBorder="1" applyAlignment="1">
      <alignment horizontal="left"/>
    </xf>
    <xf numFmtId="0" fontId="20" fillId="3" borderId="12" xfId="8" applyFont="1" applyFill="1" applyBorder="1" applyAlignment="1">
      <alignment horizontal="center"/>
    </xf>
    <xf numFmtId="49" fontId="20" fillId="3" borderId="5" xfId="8" applyNumberFormat="1" applyFont="1" applyFill="1" applyBorder="1" applyAlignment="1">
      <alignment horizontal="center" vertical="center"/>
    </xf>
    <xf numFmtId="0" fontId="20" fillId="3" borderId="1" xfId="8" applyFont="1" applyFill="1" applyBorder="1" applyAlignment="1">
      <alignment horizontal="center" vertical="center"/>
    </xf>
    <xf numFmtId="0" fontId="20" fillId="3" borderId="2" xfId="8" applyFont="1" applyFill="1" applyBorder="1" applyAlignment="1">
      <alignment horizontal="center" vertical="center"/>
    </xf>
    <xf numFmtId="49" fontId="20" fillId="3" borderId="2" xfId="8" applyNumberFormat="1" applyFont="1" applyFill="1" applyBorder="1" applyAlignment="1">
      <alignment horizontal="center" vertical="center"/>
    </xf>
    <xf numFmtId="49" fontId="20" fillId="3" borderId="3" xfId="8" applyNumberFormat="1" applyFont="1" applyFill="1" applyBorder="1" applyAlignment="1">
      <alignment horizontal="center" vertical="center"/>
    </xf>
    <xf numFmtId="0" fontId="24" fillId="0" borderId="0" xfId="8" applyNumberFormat="1" applyFont="1" applyFill="1" applyBorder="1" applyAlignment="1">
      <alignment horizontal="left" wrapText="1"/>
    </xf>
    <xf numFmtId="1" fontId="24" fillId="0" borderId="6" xfId="8" applyNumberFormat="1" applyFont="1" applyFill="1" applyBorder="1" applyAlignment="1">
      <alignment horizontal="center" vertical="center"/>
    </xf>
    <xf numFmtId="0" fontId="20" fillId="3" borderId="7" xfId="8" applyNumberFormat="1" applyFont="1" applyFill="1" applyBorder="1" applyAlignment="1">
      <alignment horizontal="left" wrapText="1"/>
    </xf>
    <xf numFmtId="49" fontId="20" fillId="3" borderId="7" xfId="8" applyNumberFormat="1" applyFont="1" applyFill="1" applyBorder="1" applyAlignment="1">
      <alignment horizontal="center" wrapText="1"/>
    </xf>
    <xf numFmtId="1" fontId="20" fillId="3" borderId="7" xfId="8" applyNumberFormat="1" applyFont="1" applyFill="1" applyBorder="1" applyAlignment="1">
      <alignment horizontal="center" vertical="center"/>
    </xf>
    <xf numFmtId="0" fontId="24" fillId="0" borderId="4" xfId="8" applyFont="1" applyFill="1" applyBorder="1" applyAlignment="1">
      <alignment horizontal="left" wrapText="1"/>
    </xf>
    <xf numFmtId="49" fontId="24" fillId="0" borderId="5" xfId="8" applyNumberFormat="1" applyFont="1" applyFill="1" applyBorder="1" applyAlignment="1">
      <alignment horizontal="center"/>
    </xf>
    <xf numFmtId="0" fontId="20" fillId="3" borderId="4" xfId="8" applyFont="1" applyFill="1" applyBorder="1" applyAlignment="1">
      <alignment horizontal="left" wrapText="1"/>
    </xf>
    <xf numFmtId="49" fontId="20" fillId="3" borderId="5" xfId="8" applyNumberFormat="1" applyFont="1" applyFill="1" applyBorder="1" applyAlignment="1">
      <alignment horizontal="center"/>
    </xf>
    <xf numFmtId="0" fontId="20" fillId="0" borderId="4" xfId="8" applyFont="1" applyFill="1" applyBorder="1" applyAlignment="1">
      <alignment horizontal="left" wrapText="1"/>
    </xf>
    <xf numFmtId="49" fontId="20" fillId="0" borderId="5" xfId="8" applyNumberFormat="1" applyFont="1" applyFill="1" applyBorder="1" applyAlignment="1">
      <alignment horizontal="center"/>
    </xf>
    <xf numFmtId="49" fontId="20" fillId="0" borderId="0" xfId="8" applyNumberFormat="1" applyFont="1" applyFill="1" applyBorder="1" applyAlignment="1">
      <alignment horizontal="center"/>
    </xf>
    <xf numFmtId="49" fontId="20" fillId="0" borderId="15" xfId="3" applyNumberFormat="1" applyFont="1" applyFill="1" applyProtection="1">
      <alignment horizontal="center"/>
    </xf>
    <xf numFmtId="0" fontId="20" fillId="0" borderId="25" xfId="8" applyFont="1" applyFill="1" applyBorder="1" applyAlignment="1">
      <alignment horizontal="left" wrapText="1"/>
    </xf>
    <xf numFmtId="49" fontId="20" fillId="0" borderId="10" xfId="8" applyNumberFormat="1" applyFont="1" applyFill="1" applyBorder="1" applyAlignment="1">
      <alignment horizontal="center"/>
    </xf>
    <xf numFmtId="0" fontId="20" fillId="0" borderId="7" xfId="8" applyFont="1" applyFill="1" applyBorder="1" applyAlignment="1">
      <alignment horizontal="left" wrapText="1"/>
    </xf>
    <xf numFmtId="49" fontId="20" fillId="0" borderId="7" xfId="8" applyNumberFormat="1" applyFont="1" applyFill="1" applyBorder="1" applyAlignment="1">
      <alignment horizontal="center"/>
    </xf>
    <xf numFmtId="0" fontId="23" fillId="0" borderId="7" xfId="0" applyFont="1" applyFill="1" applyBorder="1" applyAlignment="1">
      <alignment wrapText="1"/>
    </xf>
    <xf numFmtId="49" fontId="22" fillId="0" borderId="15" xfId="3" applyNumberFormat="1" applyFont="1" applyFill="1" applyProtection="1">
      <alignment horizontal="center"/>
    </xf>
    <xf numFmtId="49" fontId="21" fillId="0" borderId="15" xfId="3" applyNumberFormat="1" applyFont="1" applyFill="1" applyProtection="1">
      <alignment horizontal="center"/>
    </xf>
    <xf numFmtId="0" fontId="22" fillId="0" borderId="13" xfId="1" applyNumberFormat="1" applyFont="1" applyFill="1" applyProtection="1">
      <alignment horizontal="left" wrapText="1"/>
    </xf>
    <xf numFmtId="0" fontId="20" fillId="0" borderId="13" xfId="1" applyNumberFormat="1" applyFont="1" applyFill="1" applyProtection="1">
      <alignment horizontal="left" wrapText="1"/>
    </xf>
    <xf numFmtId="0" fontId="23" fillId="0" borderId="7" xfId="0" applyFont="1" applyFill="1" applyBorder="1" applyAlignment="1">
      <alignment horizontal="left" vertical="top" wrapText="1"/>
    </xf>
    <xf numFmtId="49" fontId="24" fillId="0" borderId="15" xfId="3" applyNumberFormat="1" applyFont="1" applyFill="1" applyProtection="1">
      <alignment horizontal="center"/>
    </xf>
    <xf numFmtId="0" fontId="23" fillId="0" borderId="8" xfId="0" applyFont="1" applyFill="1" applyBorder="1" applyAlignment="1">
      <alignment horizontal="left" vertical="top" wrapText="1"/>
    </xf>
    <xf numFmtId="49" fontId="24" fillId="0" borderId="24" xfId="3" applyNumberFormat="1" applyFont="1" applyFill="1" applyBorder="1" applyProtection="1">
      <alignment horizontal="center"/>
    </xf>
    <xf numFmtId="49" fontId="24" fillId="0" borderId="7" xfId="3" applyNumberFormat="1" applyFont="1" applyFill="1" applyBorder="1" applyProtection="1">
      <alignment horizontal="center"/>
    </xf>
    <xf numFmtId="0" fontId="22" fillId="0" borderId="7" xfId="1" applyNumberFormat="1" applyFont="1" applyFill="1" applyBorder="1" applyProtection="1">
      <alignment horizontal="left" wrapText="1"/>
    </xf>
    <xf numFmtId="49" fontId="22" fillId="0" borderId="7" xfId="3" applyNumberFormat="1" applyFont="1" applyFill="1" applyBorder="1" applyProtection="1">
      <alignment horizontal="center"/>
    </xf>
    <xf numFmtId="49" fontId="21" fillId="0" borderId="23" xfId="10" applyNumberFormat="1" applyFont="1" applyFill="1" applyAlignment="1" applyProtection="1">
      <alignment horizontal="center" shrinkToFit="1"/>
    </xf>
    <xf numFmtId="165" fontId="21" fillId="0" borderId="23" xfId="10" quotePrefix="1" applyNumberFormat="1" applyFont="1" applyFill="1" applyAlignment="1" applyProtection="1">
      <alignment horizontal="center" shrinkToFit="1"/>
    </xf>
    <xf numFmtId="49" fontId="22" fillId="0" borderId="28" xfId="9" applyNumberFormat="1" applyFont="1" applyFill="1" applyBorder="1" applyAlignment="1" applyProtection="1">
      <alignment vertical="center" wrapText="1"/>
    </xf>
    <xf numFmtId="49" fontId="22" fillId="0" borderId="7" xfId="9" applyNumberFormat="1" applyFont="1" applyFill="1" applyBorder="1" applyAlignment="1" applyProtection="1">
      <alignment vertical="center" wrapText="1"/>
    </xf>
    <xf numFmtId="1" fontId="21" fillId="0" borderId="23" xfId="10" quotePrefix="1" applyNumberFormat="1" applyFont="1" applyFill="1" applyAlignment="1" applyProtection="1">
      <alignment horizontal="center" shrinkToFit="1"/>
    </xf>
    <xf numFmtId="165" fontId="21" fillId="0" borderId="23" xfId="10" quotePrefix="1" applyNumberFormat="1" applyFont="1" applyFill="1" applyAlignment="1" applyProtection="1">
      <alignment horizontal="center" shrinkToFit="1"/>
      <protection locked="0"/>
    </xf>
    <xf numFmtId="0" fontId="27" fillId="0" borderId="7" xfId="0" applyFont="1" applyFill="1" applyBorder="1" applyAlignment="1">
      <alignment wrapText="1"/>
    </xf>
    <xf numFmtId="49" fontId="21" fillId="0" borderId="20" xfId="3" applyNumberFormat="1" applyFont="1" applyFill="1" applyBorder="1" applyProtection="1">
      <alignment horizontal="center"/>
    </xf>
    <xf numFmtId="49" fontId="21" fillId="0" borderId="7" xfId="3" applyNumberFormat="1" applyFont="1" applyFill="1" applyBorder="1" applyProtection="1">
      <alignment horizontal="center"/>
    </xf>
    <xf numFmtId="0" fontId="22" fillId="0" borderId="19" xfId="1" applyNumberFormat="1" applyFont="1" applyFill="1" applyBorder="1" applyProtection="1">
      <alignment horizontal="left" wrapText="1"/>
    </xf>
    <xf numFmtId="49" fontId="20" fillId="3" borderId="7" xfId="8" applyNumberFormat="1" applyFont="1" applyFill="1" applyBorder="1" applyAlignment="1">
      <alignment horizontal="center" vertical="top"/>
    </xf>
    <xf numFmtId="4" fontId="24" fillId="0" borderId="16" xfId="4" applyNumberFormat="1" applyFont="1" applyFill="1" applyAlignment="1" applyProtection="1">
      <alignment horizontal="center" vertical="center" shrinkToFit="1"/>
    </xf>
    <xf numFmtId="4" fontId="21" fillId="0" borderId="15" xfId="5" applyNumberFormat="1" applyFont="1" applyFill="1" applyAlignment="1" applyProtection="1">
      <alignment horizontal="center" shrinkToFit="1"/>
    </xf>
    <xf numFmtId="4" fontId="22" fillId="0" borderId="15" xfId="5" applyNumberFormat="1" applyFont="1" applyFill="1" applyAlignment="1" applyProtection="1">
      <alignment horizontal="center" shrinkToFit="1"/>
    </xf>
    <xf numFmtId="4" fontId="21" fillId="0" borderId="24" xfId="5" applyNumberFormat="1" applyFont="1" applyFill="1" applyBorder="1" applyAlignment="1" applyProtection="1">
      <alignment horizontal="center" shrinkToFit="1"/>
    </xf>
    <xf numFmtId="4" fontId="21" fillId="0" borderId="7" xfId="5" applyNumberFormat="1" applyFont="1" applyFill="1" applyBorder="1" applyAlignment="1" applyProtection="1">
      <alignment horizontal="center" shrinkToFit="1"/>
    </xf>
    <xf numFmtId="4" fontId="22" fillId="0" borderId="4" xfId="5" applyNumberFormat="1" applyFont="1" applyFill="1" applyBorder="1" applyAlignment="1" applyProtection="1">
      <alignment horizontal="center" shrinkToFit="1"/>
    </xf>
    <xf numFmtId="4" fontId="22" fillId="0" borderId="9" xfId="5" applyNumberFormat="1" applyFont="1" applyFill="1" applyBorder="1" applyAlignment="1" applyProtection="1">
      <alignment horizontal="center" shrinkToFit="1"/>
    </xf>
    <xf numFmtId="4" fontId="22" fillId="0" borderId="26" xfId="5" applyNumberFormat="1" applyFont="1" applyFill="1" applyBorder="1" applyAlignment="1" applyProtection="1">
      <alignment horizontal="center" shrinkToFit="1"/>
    </xf>
    <xf numFmtId="4" fontId="21" fillId="0" borderId="20" xfId="5" applyNumberFormat="1" applyFont="1" applyFill="1" applyBorder="1" applyAlignment="1" applyProtection="1">
      <alignment horizontal="center" shrinkToFit="1"/>
    </xf>
    <xf numFmtId="4" fontId="20" fillId="0" borderId="15" xfId="5" applyNumberFormat="1" applyFont="1" applyFill="1" applyAlignment="1" applyProtection="1">
      <alignment horizontal="center" shrinkToFit="1"/>
    </xf>
    <xf numFmtId="4" fontId="24" fillId="0" borderId="15" xfId="5" applyNumberFormat="1" applyFont="1" applyFill="1" applyAlignment="1" applyProtection="1">
      <alignment horizontal="center" shrinkToFit="1"/>
    </xf>
    <xf numFmtId="4" fontId="24" fillId="0" borderId="21" xfId="5" applyNumberFormat="1" applyFont="1" applyFill="1" applyBorder="1" applyAlignment="1" applyProtection="1">
      <alignment horizontal="center" shrinkToFit="1"/>
    </xf>
    <xf numFmtId="4" fontId="22" fillId="0" borderId="21" xfId="5" applyNumberFormat="1" applyFont="1" applyFill="1" applyBorder="1" applyAlignment="1" applyProtection="1">
      <alignment horizontal="center" shrinkToFit="1"/>
    </xf>
    <xf numFmtId="4" fontId="21" fillId="0" borderId="21" xfId="5" applyNumberFormat="1" applyFont="1" applyFill="1" applyBorder="1" applyAlignment="1" applyProtection="1">
      <alignment horizontal="center" shrinkToFit="1"/>
    </xf>
    <xf numFmtId="4" fontId="21" fillId="0" borderId="27" xfId="5" applyNumberFormat="1" applyFont="1" applyFill="1" applyBorder="1" applyAlignment="1" applyProtection="1">
      <alignment horizontal="center" shrinkToFit="1"/>
    </xf>
    <xf numFmtId="4" fontId="20" fillId="0" borderId="7" xfId="5" applyNumberFormat="1" applyFont="1" applyFill="1" applyBorder="1" applyAlignment="1" applyProtection="1">
      <alignment horizontal="center" shrinkToFit="1"/>
    </xf>
    <xf numFmtId="4" fontId="3" fillId="2" borderId="0" xfId="8" applyNumberFormat="1" applyFont="1" applyFill="1" applyBorder="1" applyAlignment="1">
      <alignment horizontal="center" shrinkToFit="1"/>
    </xf>
    <xf numFmtId="4" fontId="10" fillId="2" borderId="0" xfId="5" applyNumberFormat="1" applyFont="1" applyFill="1" applyBorder="1" applyAlignment="1" applyProtection="1">
      <alignment horizontal="center" shrinkToFit="1"/>
    </xf>
    <xf numFmtId="4" fontId="12" fillId="2" borderId="0" xfId="5" applyNumberFormat="1" applyFont="1" applyFill="1" applyBorder="1" applyAlignment="1" applyProtection="1">
      <alignment horizontal="center" shrinkToFit="1"/>
    </xf>
    <xf numFmtId="4" fontId="11" fillId="2" borderId="0" xfId="5" applyNumberFormat="1" applyFont="1" applyFill="1" applyBorder="1" applyAlignment="1" applyProtection="1">
      <alignment horizontal="center" shrinkToFit="1"/>
    </xf>
    <xf numFmtId="0" fontId="7" fillId="2" borderId="0" xfId="8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20" fillId="3" borderId="7" xfId="8" applyNumberFormat="1" applyFont="1" applyFill="1" applyBorder="1" applyAlignment="1">
      <alignment horizontal="center" vertical="center" shrinkToFit="1"/>
    </xf>
    <xf numFmtId="4" fontId="20" fillId="0" borderId="24" xfId="5" applyNumberFormat="1" applyFont="1" applyFill="1" applyBorder="1" applyAlignment="1" applyProtection="1">
      <alignment horizontal="center" shrinkToFit="1"/>
    </xf>
    <xf numFmtId="4" fontId="22" fillId="0" borderId="7" xfId="5" applyNumberFormat="1" applyFont="1" applyFill="1" applyBorder="1" applyAlignment="1" applyProtection="1">
      <alignment horizontal="center" shrinkToFit="1"/>
    </xf>
    <xf numFmtId="4" fontId="20" fillId="0" borderId="20" xfId="5" applyNumberFormat="1" applyFont="1" applyFill="1" applyBorder="1" applyAlignment="1" applyProtection="1">
      <alignment horizontal="center" shrinkToFit="1"/>
    </xf>
    <xf numFmtId="4" fontId="24" fillId="0" borderId="26" xfId="5" applyNumberFormat="1" applyFont="1" applyFill="1" applyBorder="1" applyAlignment="1" applyProtection="1">
      <alignment horizontal="center" shrinkToFit="1"/>
    </xf>
    <xf numFmtId="4" fontId="25" fillId="0" borderId="15" xfId="5" applyNumberFormat="1" applyFont="1" applyFill="1" applyAlignment="1" applyProtection="1">
      <alignment horizontal="center" shrinkToFit="1"/>
    </xf>
    <xf numFmtId="4" fontId="26" fillId="0" borderId="15" xfId="5" applyNumberFormat="1" applyFont="1" applyFill="1" applyAlignment="1" applyProtection="1">
      <alignment horizontal="center" shrinkToFit="1"/>
    </xf>
    <xf numFmtId="4" fontId="23" fillId="0" borderId="7" xfId="5" applyNumberFormat="1" applyFont="1" applyFill="1" applyBorder="1" applyAlignment="1" applyProtection="1">
      <alignment horizontal="center" shrinkToFit="1"/>
    </xf>
    <xf numFmtId="4" fontId="25" fillId="0" borderId="7" xfId="5" applyNumberFormat="1" applyFont="1" applyFill="1" applyBorder="1" applyAlignment="1" applyProtection="1">
      <alignment horizontal="center" shrinkToFit="1"/>
    </xf>
    <xf numFmtId="4" fontId="25" fillId="0" borderId="9" xfId="5" applyNumberFormat="1" applyFont="1" applyFill="1" applyBorder="1" applyAlignment="1" applyProtection="1">
      <alignment horizontal="center" shrinkToFit="1"/>
    </xf>
    <xf numFmtId="4" fontId="24" fillId="0" borderId="7" xfId="5" applyNumberFormat="1" applyFont="1" applyFill="1" applyBorder="1" applyAlignment="1" applyProtection="1">
      <alignment horizontal="center" shrinkToFit="1"/>
    </xf>
    <xf numFmtId="4" fontId="4" fillId="2" borderId="0" xfId="8" applyNumberFormat="1" applyFont="1" applyFill="1" applyBorder="1" applyAlignment="1">
      <alignment horizontal="center" shrinkToFit="1"/>
    </xf>
    <xf numFmtId="0" fontId="6" fillId="0" borderId="0" xfId="0" applyFont="1" applyProtection="1">
      <protection locked="0"/>
    </xf>
    <xf numFmtId="0" fontId="6" fillId="3" borderId="0" xfId="0" applyFont="1" applyFill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29" fillId="0" borderId="0" xfId="0" applyFont="1" applyBorder="1" applyAlignment="1" applyProtection="1">
      <alignment horizontal="left" vertical="center" wrapText="1" shrinkToFit="1"/>
      <protection locked="0"/>
    </xf>
    <xf numFmtId="0" fontId="0" fillId="0" borderId="0" xfId="0" applyBorder="1" applyAlignment="1" applyProtection="1">
      <alignment horizontal="left" vertical="center" wrapText="1" shrinkToFit="1"/>
      <protection locked="0"/>
    </xf>
    <xf numFmtId="0" fontId="0" fillId="0" borderId="0" xfId="0" applyAlignment="1"/>
  </cellXfs>
  <cellStyles count="11">
    <cellStyle name="xl35" xfId="1"/>
    <cellStyle name="xl36" xfId="9"/>
    <cellStyle name="xl40" xfId="2"/>
    <cellStyle name="xl44" xfId="3"/>
    <cellStyle name="xl49" xfId="4"/>
    <cellStyle name="xl51" xfId="5"/>
    <cellStyle name="xl52" xfId="10"/>
    <cellStyle name="xl68" xfId="6"/>
    <cellStyle name="xl70" xfId="7"/>
    <cellStyle name="Обычный" xfId="0" builtinId="0"/>
    <cellStyle name="Обычный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156"/>
  <sheetViews>
    <sheetView tabSelected="1" showWhiteSpace="0" view="pageLayout" topLeftCell="A112" workbookViewId="0">
      <selection activeCell="A143" sqref="A143"/>
    </sheetView>
  </sheetViews>
  <sheetFormatPr defaultColWidth="30.42578125" defaultRowHeight="10.5"/>
  <cols>
    <col min="1" max="1" width="84.85546875" style="1" customWidth="1"/>
    <col min="2" max="2" width="21" style="1" customWidth="1"/>
    <col min="3" max="3" width="15.28515625" style="113" customWidth="1"/>
    <col min="4" max="4" width="16.42578125" style="113" customWidth="1"/>
    <col min="5" max="5" width="30.42578125" style="8"/>
    <col min="6" max="16384" width="30.42578125" style="1"/>
  </cols>
  <sheetData>
    <row r="1" spans="1:7" ht="15">
      <c r="A1" s="126"/>
      <c r="B1" s="126"/>
      <c r="C1" s="129" t="s">
        <v>232</v>
      </c>
      <c r="D1" s="130"/>
      <c r="E1" s="127"/>
    </row>
    <row r="2" spans="1:7" ht="15">
      <c r="A2" s="126"/>
      <c r="B2" s="126"/>
      <c r="C2" s="129" t="s">
        <v>236</v>
      </c>
      <c r="D2" s="133"/>
      <c r="E2" s="127"/>
    </row>
    <row r="3" spans="1:7" ht="15">
      <c r="A3" s="126"/>
      <c r="B3" s="126"/>
      <c r="C3" s="129" t="s">
        <v>233</v>
      </c>
      <c r="D3" s="129"/>
      <c r="E3" s="127"/>
    </row>
    <row r="4" spans="1:7" ht="15">
      <c r="A4" s="126"/>
      <c r="B4" s="126"/>
      <c r="C4" s="129" t="s">
        <v>235</v>
      </c>
      <c r="D4" s="129"/>
      <c r="E4" s="127"/>
    </row>
    <row r="5" spans="1:7">
      <c r="A5" s="126"/>
      <c r="B5" s="126"/>
      <c r="C5" s="128"/>
      <c r="D5" s="128"/>
      <c r="E5" s="127"/>
    </row>
    <row r="6" spans="1:7" ht="15">
      <c r="A6" s="131" t="s">
        <v>234</v>
      </c>
      <c r="B6" s="132"/>
      <c r="C6" s="132"/>
      <c r="D6" s="132"/>
      <c r="E6" s="132"/>
    </row>
    <row r="7" spans="1:7">
      <c r="A7" s="126"/>
      <c r="B7" s="126"/>
      <c r="C7" s="128"/>
      <c r="D7" s="128"/>
      <c r="E7" s="127"/>
    </row>
    <row r="8" spans="1:7" ht="12.75">
      <c r="A8" s="36"/>
      <c r="B8" s="37"/>
      <c r="C8" s="38"/>
      <c r="D8" s="90" t="s">
        <v>0</v>
      </c>
      <c r="E8" s="28"/>
    </row>
    <row r="9" spans="1:7" ht="12.75">
      <c r="A9" s="39"/>
      <c r="B9" s="40" t="s">
        <v>1</v>
      </c>
      <c r="C9" s="41" t="s">
        <v>2</v>
      </c>
      <c r="D9" s="38" t="s">
        <v>3</v>
      </c>
      <c r="E9" s="28"/>
    </row>
    <row r="10" spans="1:7" ht="12.75">
      <c r="A10" s="39" t="s">
        <v>4</v>
      </c>
      <c r="B10" s="39" t="s">
        <v>5</v>
      </c>
      <c r="C10" s="41" t="s">
        <v>6</v>
      </c>
      <c r="D10" s="42" t="s">
        <v>7</v>
      </c>
      <c r="E10" s="29"/>
    </row>
    <row r="11" spans="1:7" ht="12.75">
      <c r="A11" s="43"/>
      <c r="B11" s="40" t="s">
        <v>9</v>
      </c>
      <c r="C11" s="41" t="s">
        <v>8</v>
      </c>
      <c r="D11" s="42" t="s">
        <v>10</v>
      </c>
      <c r="E11" s="29"/>
    </row>
    <row r="12" spans="1:7" ht="7.5" hidden="1" customHeight="1">
      <c r="A12" s="44"/>
      <c r="B12" s="45"/>
      <c r="C12" s="46"/>
      <c r="D12" s="42"/>
      <c r="E12" s="29"/>
    </row>
    <row r="13" spans="1:7" ht="13.5" thickBot="1">
      <c r="A13" s="47">
        <v>1</v>
      </c>
      <c r="B13" s="48">
        <v>3</v>
      </c>
      <c r="C13" s="49" t="s">
        <v>11</v>
      </c>
      <c r="D13" s="50" t="s">
        <v>12</v>
      </c>
      <c r="E13" s="7"/>
      <c r="F13" s="19"/>
      <c r="G13" s="32"/>
    </row>
    <row r="14" spans="1:7" s="32" customFormat="1" ht="12.75">
      <c r="A14" s="51" t="s">
        <v>13</v>
      </c>
      <c r="B14" s="52" t="s">
        <v>14</v>
      </c>
      <c r="C14" s="91">
        <f>(C16+C77)</f>
        <v>54176.235000000001</v>
      </c>
      <c r="D14" s="91">
        <f>D16+D77</f>
        <v>53015.480149999996</v>
      </c>
      <c r="E14" s="33"/>
      <c r="F14" s="34"/>
      <c r="G14" s="1"/>
    </row>
    <row r="15" spans="1:7" ht="12.75">
      <c r="A15" s="53" t="s">
        <v>16</v>
      </c>
      <c r="B15" s="54"/>
      <c r="C15" s="55"/>
      <c r="D15" s="114"/>
      <c r="E15" s="7"/>
      <c r="G15" s="32"/>
    </row>
    <row r="16" spans="1:7" s="32" customFormat="1" ht="15" customHeight="1" thickBot="1">
      <c r="A16" s="56" t="s">
        <v>17</v>
      </c>
      <c r="B16" s="57" t="s">
        <v>18</v>
      </c>
      <c r="C16" s="92">
        <f>(C17+C23+C29+C32+C41+C52+C61+C68+C75)</f>
        <v>24124.43</v>
      </c>
      <c r="D16" s="92">
        <f>D17+D23+D29+D32+D41+D52+D61+D68+D75+D40</f>
        <v>23217.366639999997</v>
      </c>
      <c r="E16" s="26"/>
      <c r="G16" s="1"/>
    </row>
    <row r="17" spans="1:5" ht="12" customHeight="1" thickBot="1">
      <c r="A17" s="58" t="s">
        <v>19</v>
      </c>
      <c r="B17" s="59" t="s">
        <v>20</v>
      </c>
      <c r="C17" s="93">
        <f>SUM(C18)</f>
        <v>10505.369000000001</v>
      </c>
      <c r="D17" s="93">
        <f>SUM(D18)</f>
        <v>10976.258629999998</v>
      </c>
      <c r="E17" s="25"/>
    </row>
    <row r="18" spans="1:5" ht="13.5" thickBot="1">
      <c r="A18" s="58" t="s">
        <v>21</v>
      </c>
      <c r="B18" s="59" t="s">
        <v>22</v>
      </c>
      <c r="C18" s="93">
        <f>SUM(C19:C21)</f>
        <v>10505.369000000001</v>
      </c>
      <c r="D18" s="93">
        <f>SUM(D19:D22)</f>
        <v>10976.258629999998</v>
      </c>
      <c r="E18" s="25"/>
    </row>
    <row r="19" spans="1:5" ht="40.5" customHeight="1" thickBot="1">
      <c r="A19" s="60" t="s">
        <v>23</v>
      </c>
      <c r="B19" s="61" t="s">
        <v>24</v>
      </c>
      <c r="C19" s="92">
        <f>10355700/1000</f>
        <v>10355.700000000001</v>
      </c>
      <c r="D19" s="100">
        <f>10825413.59/1000</f>
        <v>10825.41359</v>
      </c>
      <c r="E19" s="25"/>
    </row>
    <row r="20" spans="1:5" ht="67.5" customHeight="1" thickBot="1">
      <c r="A20" s="60" t="s">
        <v>25</v>
      </c>
      <c r="B20" s="61" t="s">
        <v>26</v>
      </c>
      <c r="C20" s="92">
        <f>90000/1000</f>
        <v>90</v>
      </c>
      <c r="D20" s="100">
        <f>90955.02/1000</f>
        <v>90.955020000000005</v>
      </c>
      <c r="E20" s="25"/>
    </row>
    <row r="21" spans="1:5" ht="27.75" customHeight="1" thickBot="1">
      <c r="A21" s="60" t="s">
        <v>27</v>
      </c>
      <c r="B21" s="61" t="s">
        <v>28</v>
      </c>
      <c r="C21" s="92">
        <f>59669/1000</f>
        <v>59.668999999999997</v>
      </c>
      <c r="D21" s="100">
        <f>59881.73/1000</f>
        <v>59.881730000000005</v>
      </c>
      <c r="E21" s="25"/>
    </row>
    <row r="22" spans="1:5" ht="31.5" customHeight="1" thickBot="1">
      <c r="A22" s="60" t="s">
        <v>190</v>
      </c>
      <c r="B22" s="61" t="s">
        <v>189</v>
      </c>
      <c r="C22" s="92">
        <v>0</v>
      </c>
      <c r="D22" s="100">
        <f>8.29/1000</f>
        <v>8.2899999999999988E-3</v>
      </c>
      <c r="E22" s="35"/>
    </row>
    <row r="23" spans="1:5" ht="27.75" customHeight="1" thickBot="1">
      <c r="A23" s="60" t="s">
        <v>29</v>
      </c>
      <c r="B23" s="61" t="s">
        <v>30</v>
      </c>
      <c r="C23" s="93">
        <f>SUM(C24)</f>
        <v>1925.63</v>
      </c>
      <c r="D23" s="93">
        <f>SUM(D24)</f>
        <v>2075.9556699999998</v>
      </c>
      <c r="E23" s="25"/>
    </row>
    <row r="24" spans="1:5" ht="19.5" customHeight="1" thickBot="1">
      <c r="A24" s="60" t="s">
        <v>31</v>
      </c>
      <c r="B24" s="61" t="s">
        <v>32</v>
      </c>
      <c r="C24" s="93">
        <f>SUM(C25:C28)</f>
        <v>1925.63</v>
      </c>
      <c r="D24" s="93">
        <f>SUM(D25:D28)</f>
        <v>2075.9556699999998</v>
      </c>
      <c r="E24" s="25"/>
    </row>
    <row r="25" spans="1:5" ht="36" customHeight="1" thickBot="1">
      <c r="A25" s="60" t="s">
        <v>33</v>
      </c>
      <c r="B25" s="61" t="s">
        <v>191</v>
      </c>
      <c r="C25" s="92">
        <f>842168/1000</f>
        <v>842.16800000000001</v>
      </c>
      <c r="D25" s="100">
        <f>944940.05/1000</f>
        <v>944.94005000000004</v>
      </c>
      <c r="E25" s="25"/>
    </row>
    <row r="26" spans="1:5" ht="53.25" customHeight="1" thickBot="1">
      <c r="A26" s="60" t="s">
        <v>34</v>
      </c>
      <c r="B26" s="61" t="s">
        <v>192</v>
      </c>
      <c r="C26" s="92">
        <f>3069/1000</f>
        <v>3.069</v>
      </c>
      <c r="D26" s="100">
        <f>6945.55/1000</f>
        <v>6.9455499999999999</v>
      </c>
      <c r="E26" s="25"/>
    </row>
    <row r="27" spans="1:5" ht="39" customHeight="1" thickBot="1">
      <c r="A27" s="60" t="s">
        <v>35</v>
      </c>
      <c r="B27" s="61" t="s">
        <v>193</v>
      </c>
      <c r="C27" s="92">
        <f>1080393/1000</f>
        <v>1080.393</v>
      </c>
      <c r="D27" s="100">
        <f>1262443.14/1000</f>
        <v>1262.4431399999999</v>
      </c>
    </row>
    <row r="28" spans="1:5" ht="39.75" customHeight="1" thickBot="1">
      <c r="A28" s="60" t="s">
        <v>36</v>
      </c>
      <c r="B28" s="61" t="s">
        <v>194</v>
      </c>
      <c r="C28" s="93" t="s">
        <v>15</v>
      </c>
      <c r="D28" s="100">
        <f>-138373.07/1000</f>
        <v>-138.37307000000001</v>
      </c>
    </row>
    <row r="29" spans="1:5" ht="13.5" customHeight="1" thickBot="1">
      <c r="A29" s="60" t="s">
        <v>37</v>
      </c>
      <c r="B29" s="61" t="s">
        <v>38</v>
      </c>
      <c r="C29" s="93">
        <f>SUM(C30)</f>
        <v>3.0129999999999999</v>
      </c>
      <c r="D29" s="100">
        <f>SUM(D30)</f>
        <v>3.0130300000000001</v>
      </c>
      <c r="E29" s="22"/>
    </row>
    <row r="30" spans="1:5" ht="13.5" customHeight="1" thickBot="1">
      <c r="A30" s="60" t="s">
        <v>39</v>
      </c>
      <c r="B30" s="61" t="s">
        <v>40</v>
      </c>
      <c r="C30" s="93">
        <f>SUM(C31)</f>
        <v>3.0129999999999999</v>
      </c>
      <c r="D30" s="100">
        <f>SUM(D31)</f>
        <v>3.0130300000000001</v>
      </c>
    </row>
    <row r="31" spans="1:5" ht="13.5" customHeight="1" thickBot="1">
      <c r="A31" s="60" t="s">
        <v>39</v>
      </c>
      <c r="B31" s="61" t="s">
        <v>41</v>
      </c>
      <c r="C31" s="92">
        <f>3013/1000</f>
        <v>3.0129999999999999</v>
      </c>
      <c r="D31" s="100">
        <f>3013.03/1000</f>
        <v>3.0130300000000001</v>
      </c>
    </row>
    <row r="32" spans="1:5" ht="13.5" customHeight="1" thickBot="1">
      <c r="A32" s="60" t="s">
        <v>42</v>
      </c>
      <c r="B32" s="61" t="s">
        <v>43</v>
      </c>
      <c r="C32" s="93">
        <f>C33+C35</f>
        <v>4678.9179999999997</v>
      </c>
      <c r="D32" s="93">
        <f>D33+D35</f>
        <v>4014.8744899999997</v>
      </c>
    </row>
    <row r="33" spans="1:4" ht="13.5" customHeight="1" thickBot="1">
      <c r="A33" s="60" t="s">
        <v>44</v>
      </c>
      <c r="B33" s="61" t="s">
        <v>45</v>
      </c>
      <c r="C33" s="93">
        <f>C34</f>
        <v>2912.4</v>
      </c>
      <c r="D33" s="93">
        <f>D34</f>
        <v>2334.3713199999997</v>
      </c>
    </row>
    <row r="34" spans="1:4" ht="27.75" customHeight="1" thickBot="1">
      <c r="A34" s="60" t="s">
        <v>46</v>
      </c>
      <c r="B34" s="61" t="s">
        <v>47</v>
      </c>
      <c r="C34" s="92">
        <f>2912400/1000</f>
        <v>2912.4</v>
      </c>
      <c r="D34" s="100">
        <f>2334371.32/1000</f>
        <v>2334.3713199999997</v>
      </c>
    </row>
    <row r="35" spans="1:4" ht="13.5" thickBot="1">
      <c r="A35" s="60" t="s">
        <v>48</v>
      </c>
      <c r="B35" s="61" t="s">
        <v>49</v>
      </c>
      <c r="C35" s="93">
        <f>C36+C38</f>
        <v>1766.518</v>
      </c>
      <c r="D35" s="100">
        <f>D36+D38</f>
        <v>1680.50317</v>
      </c>
    </row>
    <row r="36" spans="1:4" ht="13.5" thickBot="1">
      <c r="A36" s="60" t="s">
        <v>50</v>
      </c>
      <c r="B36" s="61" t="s">
        <v>51</v>
      </c>
      <c r="C36" s="93">
        <f>C37</f>
        <v>784.29</v>
      </c>
      <c r="D36" s="100">
        <f>D37</f>
        <v>784.47271999999998</v>
      </c>
    </row>
    <row r="37" spans="1:4" ht="25.5" customHeight="1" thickBot="1">
      <c r="A37" s="60" t="s">
        <v>52</v>
      </c>
      <c r="B37" s="61" t="s">
        <v>53</v>
      </c>
      <c r="C37" s="92">
        <f>784290/1000</f>
        <v>784.29</v>
      </c>
      <c r="D37" s="100">
        <f>784472.72/1000</f>
        <v>784.47271999999998</v>
      </c>
    </row>
    <row r="38" spans="1:4" ht="13.5" thickBot="1">
      <c r="A38" s="60" t="s">
        <v>54</v>
      </c>
      <c r="B38" s="61" t="s">
        <v>55</v>
      </c>
      <c r="C38" s="93">
        <f>C39</f>
        <v>982.22799999999995</v>
      </c>
      <c r="D38" s="100">
        <f>D39</f>
        <v>896.03044999999997</v>
      </c>
    </row>
    <row r="39" spans="1:4" ht="27" customHeight="1" thickBot="1">
      <c r="A39" s="60" t="s">
        <v>56</v>
      </c>
      <c r="B39" s="61" t="s">
        <v>57</v>
      </c>
      <c r="C39" s="92">
        <f>982228/1000</f>
        <v>982.22799999999995</v>
      </c>
      <c r="D39" s="100">
        <f>896030.45/1000</f>
        <v>896.03044999999997</v>
      </c>
    </row>
    <row r="40" spans="1:4" ht="37.5" hidden="1" customHeight="1" thickBot="1">
      <c r="A40" s="60" t="s">
        <v>170</v>
      </c>
      <c r="B40" s="62"/>
      <c r="C40" s="92">
        <v>0</v>
      </c>
      <c r="D40" s="100"/>
    </row>
    <row r="41" spans="1:4" ht="27.75" customHeight="1" thickBot="1">
      <c r="A41" s="60" t="s">
        <v>58</v>
      </c>
      <c r="B41" s="63" t="s">
        <v>59</v>
      </c>
      <c r="C41" s="93">
        <f>C42+C49</f>
        <v>4283.2129999999997</v>
      </c>
      <c r="D41" s="93">
        <f>D42+D49</f>
        <v>4049.3638299999998</v>
      </c>
    </row>
    <row r="42" spans="1:4" ht="49.5" customHeight="1" thickBot="1">
      <c r="A42" s="60" t="s">
        <v>60</v>
      </c>
      <c r="B42" s="63" t="s">
        <v>61</v>
      </c>
      <c r="C42" s="93">
        <f>C43+C45+C47</f>
        <v>3311.8220000000001</v>
      </c>
      <c r="D42" s="93">
        <f>D43+D45+D47</f>
        <v>3077.9724699999997</v>
      </c>
    </row>
    <row r="43" spans="1:4" ht="37.5" customHeight="1" thickBot="1">
      <c r="A43" s="60" t="s">
        <v>62</v>
      </c>
      <c r="B43" s="63" t="s">
        <v>63</v>
      </c>
      <c r="C43" s="93">
        <f>C44</f>
        <v>1856.18</v>
      </c>
      <c r="D43" s="93">
        <f>D44</f>
        <v>1892.5534700000001</v>
      </c>
    </row>
    <row r="44" spans="1:4" ht="44.25" customHeight="1" thickBot="1">
      <c r="A44" s="60" t="s">
        <v>64</v>
      </c>
      <c r="B44" s="63" t="s">
        <v>65</v>
      </c>
      <c r="C44" s="92">
        <f>1856180/1000</f>
        <v>1856.18</v>
      </c>
      <c r="D44" s="100">
        <f>1892553.47/1000</f>
        <v>1892.5534700000001</v>
      </c>
    </row>
    <row r="45" spans="1:4" ht="40.5" customHeight="1" thickBot="1">
      <c r="A45" s="60" t="s">
        <v>138</v>
      </c>
      <c r="B45" s="63" t="s">
        <v>218</v>
      </c>
      <c r="C45" s="92">
        <f>SUM(C46)</f>
        <v>104.42</v>
      </c>
      <c r="D45" s="100">
        <f>SUM(D46)</f>
        <v>83.981080000000006</v>
      </c>
    </row>
    <row r="46" spans="1:4" ht="39" customHeight="1" thickBot="1">
      <c r="A46" s="60" t="s">
        <v>138</v>
      </c>
      <c r="B46" s="63" t="s">
        <v>145</v>
      </c>
      <c r="C46" s="92">
        <f>104420/1000</f>
        <v>104.42</v>
      </c>
      <c r="D46" s="100">
        <f>83981.08/1000</f>
        <v>83.981080000000006</v>
      </c>
    </row>
    <row r="47" spans="1:4" ht="50.25" customHeight="1" thickBot="1">
      <c r="A47" s="60" t="s">
        <v>60</v>
      </c>
      <c r="B47" s="61" t="s">
        <v>66</v>
      </c>
      <c r="C47" s="93">
        <f>SUM(C48)</f>
        <v>1351.222</v>
      </c>
      <c r="D47" s="93">
        <f>SUM(D48)</f>
        <v>1101.4379199999998</v>
      </c>
    </row>
    <row r="48" spans="1:4" ht="27" customHeight="1" thickBot="1">
      <c r="A48" s="60" t="s">
        <v>67</v>
      </c>
      <c r="B48" s="61" t="s">
        <v>68</v>
      </c>
      <c r="C48" s="92">
        <f>1351222/1000</f>
        <v>1351.222</v>
      </c>
      <c r="D48" s="100">
        <f>1101437.92/1000</f>
        <v>1101.4379199999998</v>
      </c>
    </row>
    <row r="49" spans="1:7" ht="41.25" customHeight="1" thickBot="1">
      <c r="A49" s="60" t="s">
        <v>69</v>
      </c>
      <c r="B49" s="61" t="s">
        <v>70</v>
      </c>
      <c r="C49" s="93">
        <f>C50</f>
        <v>971.39099999999996</v>
      </c>
      <c r="D49" s="93">
        <f>D50</f>
        <v>971.39135999999996</v>
      </c>
    </row>
    <row r="50" spans="1:7" ht="39" customHeight="1" thickBot="1">
      <c r="A50" s="60" t="s">
        <v>71</v>
      </c>
      <c r="B50" s="61" t="s">
        <v>72</v>
      </c>
      <c r="C50" s="93">
        <f>C51</f>
        <v>971.39099999999996</v>
      </c>
      <c r="D50" s="93">
        <f>D51</f>
        <v>971.39135999999996</v>
      </c>
    </row>
    <row r="51" spans="1:7" ht="40.5" customHeight="1" thickBot="1">
      <c r="A51" s="60" t="s">
        <v>73</v>
      </c>
      <c r="B51" s="61" t="s">
        <v>74</v>
      </c>
      <c r="C51" s="92">
        <f>971391/1000</f>
        <v>971.39099999999996</v>
      </c>
      <c r="D51" s="100">
        <f>971391.36/1000</f>
        <v>971.39135999999996</v>
      </c>
    </row>
    <row r="52" spans="1:7" ht="15" customHeight="1" thickBot="1">
      <c r="A52" s="60" t="s">
        <v>75</v>
      </c>
      <c r="B52" s="61" t="s">
        <v>76</v>
      </c>
      <c r="C52" s="93">
        <f>C53+C57</f>
        <v>1725.287</v>
      </c>
      <c r="D52" s="100">
        <f>D53+D57</f>
        <v>1699.8830399999999</v>
      </c>
    </row>
    <row r="53" spans="1:7" ht="13.5" customHeight="1" thickBot="1">
      <c r="A53" s="60" t="s">
        <v>77</v>
      </c>
      <c r="B53" s="61" t="s">
        <v>78</v>
      </c>
      <c r="C53" s="93">
        <f>C54</f>
        <v>1672.287</v>
      </c>
      <c r="D53" s="100">
        <f>D54</f>
        <v>1672.287</v>
      </c>
    </row>
    <row r="54" spans="1:7" ht="12" customHeight="1" thickBot="1">
      <c r="A54" s="60" t="s">
        <v>79</v>
      </c>
      <c r="B54" s="61" t="s">
        <v>80</v>
      </c>
      <c r="C54" s="93">
        <f>C55+C56</f>
        <v>1672.287</v>
      </c>
      <c r="D54" s="100">
        <f>D55+D56</f>
        <v>1672.287</v>
      </c>
    </row>
    <row r="55" spans="1:7" ht="18" customHeight="1" thickBot="1">
      <c r="A55" s="60" t="s">
        <v>81</v>
      </c>
      <c r="B55" s="61" t="s">
        <v>82</v>
      </c>
      <c r="C55" s="92">
        <f>632347/1000</f>
        <v>632.34699999999998</v>
      </c>
      <c r="D55" s="100">
        <f>632347/1000</f>
        <v>632.34699999999998</v>
      </c>
    </row>
    <row r="56" spans="1:7" ht="15.75" customHeight="1" thickBot="1">
      <c r="A56" s="60" t="s">
        <v>81</v>
      </c>
      <c r="B56" s="61" t="s">
        <v>187</v>
      </c>
      <c r="C56" s="92">
        <f>1039940/1000</f>
        <v>1039.94</v>
      </c>
      <c r="D56" s="100">
        <f>1039940/1000</f>
        <v>1039.94</v>
      </c>
    </row>
    <row r="57" spans="1:7" ht="14.25" customHeight="1" thickBot="1">
      <c r="A57" s="60" t="s">
        <v>126</v>
      </c>
      <c r="B57" s="61" t="s">
        <v>128</v>
      </c>
      <c r="C57" s="92">
        <f>C58+C60</f>
        <v>53</v>
      </c>
      <c r="D57" s="92">
        <f>D58+D60</f>
        <v>27.596040000000002</v>
      </c>
    </row>
    <row r="58" spans="1:7" ht="18" customHeight="1">
      <c r="A58" s="64" t="s">
        <v>125</v>
      </c>
      <c r="B58" s="65" t="s">
        <v>127</v>
      </c>
      <c r="C58" s="94">
        <f>C59</f>
        <v>53</v>
      </c>
      <c r="D58" s="115">
        <f>D59</f>
        <v>27.596040000000002</v>
      </c>
    </row>
    <row r="59" spans="1:7" ht="25.5" customHeight="1">
      <c r="A59" s="66" t="s">
        <v>123</v>
      </c>
      <c r="B59" s="67" t="s">
        <v>124</v>
      </c>
      <c r="C59" s="95">
        <f>53000/1000</f>
        <v>53</v>
      </c>
      <c r="D59" s="106">
        <f>27596.04/1000</f>
        <v>27.596040000000002</v>
      </c>
      <c r="G59" s="9"/>
    </row>
    <row r="60" spans="1:7" s="9" customFormat="1" ht="25.5" hidden="1" customHeight="1">
      <c r="A60" s="68" t="s">
        <v>157</v>
      </c>
      <c r="B60" s="67" t="s">
        <v>158</v>
      </c>
      <c r="C60" s="95"/>
      <c r="D60" s="106"/>
      <c r="E60" s="24"/>
      <c r="G60" s="1"/>
    </row>
    <row r="61" spans="1:7" ht="15" customHeight="1">
      <c r="A61" s="66" t="s">
        <v>83</v>
      </c>
      <c r="B61" s="67" t="s">
        <v>84</v>
      </c>
      <c r="C61" s="96">
        <f>C64+C62</f>
        <v>70</v>
      </c>
      <c r="D61" s="116">
        <f>D64+D62</f>
        <v>0</v>
      </c>
    </row>
    <row r="62" spans="1:7" ht="24" hidden="1" customHeight="1">
      <c r="A62" s="60" t="s">
        <v>159</v>
      </c>
      <c r="B62" s="61" t="s">
        <v>160</v>
      </c>
      <c r="C62" s="96">
        <f>C63</f>
        <v>0</v>
      </c>
      <c r="D62" s="116">
        <f>D63</f>
        <v>0</v>
      </c>
    </row>
    <row r="63" spans="1:7" ht="33" hidden="1" customHeight="1">
      <c r="A63" s="60" t="s">
        <v>159</v>
      </c>
      <c r="B63" s="61" t="s">
        <v>161</v>
      </c>
      <c r="C63" s="97"/>
      <c r="D63" s="116"/>
    </row>
    <row r="64" spans="1:7" ht="22.5" customHeight="1" thickBot="1">
      <c r="A64" s="60" t="s">
        <v>85</v>
      </c>
      <c r="B64" s="61" t="s">
        <v>86</v>
      </c>
      <c r="C64" s="98">
        <f>C65</f>
        <v>70</v>
      </c>
      <c r="D64" s="116">
        <f>D65</f>
        <v>0</v>
      </c>
    </row>
    <row r="65" spans="1:7" ht="13.5" customHeight="1" thickBot="1">
      <c r="A65" s="60" t="s">
        <v>87</v>
      </c>
      <c r="B65" s="61" t="s">
        <v>88</v>
      </c>
      <c r="C65" s="93">
        <f>C66</f>
        <v>70</v>
      </c>
      <c r="D65" s="93">
        <f>D66</f>
        <v>0</v>
      </c>
    </row>
    <row r="66" spans="1:7" ht="25.5" customHeight="1">
      <c r="A66" s="60" t="s">
        <v>89</v>
      </c>
      <c r="B66" s="61" t="s">
        <v>90</v>
      </c>
      <c r="C66" s="99">
        <f>70000/1000</f>
        <v>70</v>
      </c>
      <c r="D66" s="117">
        <v>0</v>
      </c>
    </row>
    <row r="67" spans="1:7" ht="0.75" hidden="1" customHeight="1" thickBot="1">
      <c r="A67" s="60"/>
      <c r="B67" s="61"/>
      <c r="C67" s="92"/>
      <c r="D67" s="100"/>
    </row>
    <row r="68" spans="1:7" ht="18.75" customHeight="1" thickBot="1">
      <c r="A68" s="60" t="s">
        <v>91</v>
      </c>
      <c r="B68" s="61" t="s">
        <v>92</v>
      </c>
      <c r="C68" s="93">
        <f>C71+C73+C70</f>
        <v>933</v>
      </c>
      <c r="D68" s="93">
        <f>SUM(D71+D73+D70)</f>
        <v>398.01794999999998</v>
      </c>
    </row>
    <row r="69" spans="1:7" ht="40.5" customHeight="1" thickBot="1">
      <c r="A69" s="60" t="s">
        <v>230</v>
      </c>
      <c r="B69" s="61" t="s">
        <v>229</v>
      </c>
      <c r="C69" s="93">
        <f>30000/1000</f>
        <v>30</v>
      </c>
      <c r="D69" s="93">
        <f>30000/1000</f>
        <v>30</v>
      </c>
    </row>
    <row r="70" spans="1:7" ht="39" customHeight="1" thickBot="1">
      <c r="A70" s="60" t="s">
        <v>230</v>
      </c>
      <c r="B70" s="61" t="s">
        <v>229</v>
      </c>
      <c r="C70" s="92">
        <f>30000/1000</f>
        <v>30</v>
      </c>
      <c r="D70" s="100">
        <f>30000/1000</f>
        <v>30</v>
      </c>
    </row>
    <row r="71" spans="1:7" ht="27.75" customHeight="1" thickBot="1">
      <c r="A71" s="60" t="s">
        <v>93</v>
      </c>
      <c r="B71" s="61" t="s">
        <v>94</v>
      </c>
      <c r="C71" s="93">
        <f>C72</f>
        <v>13</v>
      </c>
      <c r="D71" s="93">
        <f>D72</f>
        <v>12.5</v>
      </c>
    </row>
    <row r="72" spans="1:7" ht="29.25" customHeight="1" thickBot="1">
      <c r="A72" s="60" t="s">
        <v>95</v>
      </c>
      <c r="B72" s="61" t="s">
        <v>96</v>
      </c>
      <c r="C72" s="92">
        <f>13000/1000</f>
        <v>13</v>
      </c>
      <c r="D72" s="100">
        <f>12500/1000</f>
        <v>12.5</v>
      </c>
    </row>
    <row r="73" spans="1:7" ht="24" customHeight="1" thickBot="1">
      <c r="A73" s="60" t="s">
        <v>97</v>
      </c>
      <c r="B73" s="61" t="s">
        <v>98</v>
      </c>
      <c r="C73" s="93">
        <f>C74</f>
        <v>890</v>
      </c>
      <c r="D73" s="100">
        <f>D74</f>
        <v>355.51794999999998</v>
      </c>
    </row>
    <row r="74" spans="1:7" ht="27.75" customHeight="1" thickBot="1">
      <c r="A74" s="60" t="s">
        <v>99</v>
      </c>
      <c r="B74" s="61" t="s">
        <v>100</v>
      </c>
      <c r="C74" s="92">
        <f>890000/1000</f>
        <v>890</v>
      </c>
      <c r="D74" s="100">
        <f>355517.95/1000</f>
        <v>355.51794999999998</v>
      </c>
    </row>
    <row r="75" spans="1:7" ht="34.5" hidden="1" customHeight="1" thickBot="1">
      <c r="A75" s="60" t="s">
        <v>148</v>
      </c>
      <c r="B75" s="61" t="s">
        <v>149</v>
      </c>
      <c r="C75" s="92">
        <f>C76</f>
        <v>0</v>
      </c>
      <c r="D75" s="100">
        <f>D76</f>
        <v>0</v>
      </c>
    </row>
    <row r="76" spans="1:7" ht="30" hidden="1" customHeight="1" thickBot="1">
      <c r="A76" s="60" t="s">
        <v>147</v>
      </c>
      <c r="B76" s="61" t="s">
        <v>146</v>
      </c>
      <c r="C76" s="92"/>
      <c r="D76" s="100"/>
      <c r="G76" s="32"/>
    </row>
    <row r="77" spans="1:7" s="32" customFormat="1" ht="15.75" customHeight="1" thickBot="1">
      <c r="A77" s="56" t="s">
        <v>101</v>
      </c>
      <c r="B77" s="57" t="s">
        <v>102</v>
      </c>
      <c r="C77" s="92">
        <f>C78+C126+C130+C113</f>
        <v>30051.804999999997</v>
      </c>
      <c r="D77" s="92">
        <f>D78+D126+D130</f>
        <v>29798.113509999999</v>
      </c>
      <c r="E77" s="31"/>
      <c r="F77" s="31"/>
      <c r="G77" s="1"/>
    </row>
    <row r="78" spans="1:7" ht="27" customHeight="1" thickBot="1">
      <c r="A78" s="60" t="s">
        <v>103</v>
      </c>
      <c r="B78" s="61" t="s">
        <v>144</v>
      </c>
      <c r="C78" s="93">
        <f>C79+C84+C108+C112</f>
        <v>29687.471999999998</v>
      </c>
      <c r="D78" s="93">
        <f>D79+D84+D108+D112</f>
        <v>29685.322260000001</v>
      </c>
      <c r="F78" s="8"/>
    </row>
    <row r="79" spans="1:7" ht="14.25" customHeight="1" thickBot="1">
      <c r="A79" s="60" t="s">
        <v>104</v>
      </c>
      <c r="B79" s="61" t="s">
        <v>213</v>
      </c>
      <c r="C79" s="93">
        <f>C81+C83</f>
        <v>14229.1</v>
      </c>
      <c r="D79" s="93">
        <f>D81+D83</f>
        <v>14229.1</v>
      </c>
      <c r="F79" s="8"/>
    </row>
    <row r="80" spans="1:7" ht="17.25" customHeight="1" thickBot="1">
      <c r="A80" s="60" t="s">
        <v>105</v>
      </c>
      <c r="B80" s="69" t="s">
        <v>212</v>
      </c>
      <c r="C80" s="93">
        <f>C81</f>
        <v>8901.1</v>
      </c>
      <c r="D80" s="93">
        <f>D81</f>
        <v>8901.1</v>
      </c>
      <c r="F80" s="8"/>
    </row>
    <row r="81" spans="1:6" ht="15.75" customHeight="1" thickBot="1">
      <c r="A81" s="60" t="s">
        <v>106</v>
      </c>
      <c r="B81" s="70" t="s">
        <v>211</v>
      </c>
      <c r="C81" s="92">
        <f>8901100/1000</f>
        <v>8901.1</v>
      </c>
      <c r="D81" s="101">
        <f>8901100/1000</f>
        <v>8901.1</v>
      </c>
      <c r="F81" s="8"/>
    </row>
    <row r="82" spans="1:6" ht="24" hidden="1" customHeight="1" thickBot="1">
      <c r="A82" s="60" t="s">
        <v>107</v>
      </c>
      <c r="B82" s="69" t="s">
        <v>116</v>
      </c>
      <c r="C82" s="93">
        <f>C83</f>
        <v>5328</v>
      </c>
      <c r="D82" s="93">
        <f>D83</f>
        <v>5328</v>
      </c>
      <c r="F82" s="8"/>
    </row>
    <row r="83" spans="1:6" ht="26.25" customHeight="1" thickBot="1">
      <c r="A83" s="60" t="s">
        <v>108</v>
      </c>
      <c r="B83" s="70" t="s">
        <v>217</v>
      </c>
      <c r="C83" s="92">
        <f>5328000/1000</f>
        <v>5328</v>
      </c>
      <c r="D83" s="92">
        <f>5328000/1000</f>
        <v>5328</v>
      </c>
      <c r="F83" s="8"/>
    </row>
    <row r="84" spans="1:6" ht="24.75" customHeight="1" thickBot="1">
      <c r="A84" s="60" t="s">
        <v>109</v>
      </c>
      <c r="B84" s="69" t="s">
        <v>210</v>
      </c>
      <c r="C84" s="93">
        <f>C85+C88+C90+C91+C93+C89+C95+C96+C99+C104+C107+C101+C103+C105+C98+C106</f>
        <v>12203.171999999999</v>
      </c>
      <c r="D84" s="93">
        <f>D85+D88+D90+D91+D92+D89+D95+D96+D99+D107+D103+D105+D97+D106</f>
        <v>12203.171259999999</v>
      </c>
      <c r="E84" s="11"/>
      <c r="F84" s="8"/>
    </row>
    <row r="85" spans="1:6" ht="27" hidden="1" customHeight="1" thickBot="1">
      <c r="A85" s="71" t="s">
        <v>117</v>
      </c>
      <c r="B85" s="69" t="s">
        <v>118</v>
      </c>
      <c r="C85" s="93"/>
      <c r="D85" s="93"/>
      <c r="F85" s="8"/>
    </row>
    <row r="86" spans="1:6" ht="21.75" hidden="1" customHeight="1" thickBot="1">
      <c r="A86" s="72" t="s">
        <v>119</v>
      </c>
      <c r="B86" s="63" t="s">
        <v>120</v>
      </c>
      <c r="C86" s="100"/>
      <c r="D86" s="100"/>
      <c r="F86" s="8"/>
    </row>
    <row r="87" spans="1:6" ht="33.75" hidden="1" customHeight="1" thickBot="1">
      <c r="A87" s="72" t="s">
        <v>130</v>
      </c>
      <c r="B87" s="63" t="s">
        <v>129</v>
      </c>
      <c r="C87" s="100"/>
      <c r="D87" s="100"/>
      <c r="F87" s="8"/>
    </row>
    <row r="88" spans="1:6" ht="48" hidden="1" customHeight="1" thickBot="1">
      <c r="A88" s="73" t="s">
        <v>155</v>
      </c>
      <c r="B88" s="74" t="s">
        <v>131</v>
      </c>
      <c r="C88" s="101">
        <v>0</v>
      </c>
      <c r="D88" s="92">
        <v>0</v>
      </c>
      <c r="F88" s="8"/>
    </row>
    <row r="89" spans="1:6" ht="55.5" hidden="1" customHeight="1" thickBot="1">
      <c r="A89" s="75" t="s">
        <v>154</v>
      </c>
      <c r="B89" s="76" t="s">
        <v>156</v>
      </c>
      <c r="C89" s="101">
        <v>0</v>
      </c>
      <c r="D89" s="101">
        <v>0</v>
      </c>
      <c r="E89" s="15"/>
      <c r="F89" s="23">
        <f>E84+E89</f>
        <v>0</v>
      </c>
    </row>
    <row r="90" spans="1:6" ht="50.25" hidden="1" customHeight="1" thickBot="1">
      <c r="A90" s="73" t="s">
        <v>178</v>
      </c>
      <c r="B90" s="77" t="s">
        <v>176</v>
      </c>
      <c r="C90" s="102">
        <v>0</v>
      </c>
      <c r="D90" s="118">
        <v>0</v>
      </c>
      <c r="E90" s="15"/>
      <c r="F90" s="23"/>
    </row>
    <row r="91" spans="1:6" ht="109.5" hidden="1" customHeight="1" thickBot="1">
      <c r="A91" s="73" t="s">
        <v>177</v>
      </c>
      <c r="B91" s="77" t="s">
        <v>175</v>
      </c>
      <c r="C91" s="102">
        <v>0</v>
      </c>
      <c r="D91" s="118">
        <v>0</v>
      </c>
      <c r="E91" s="15"/>
      <c r="F91" s="23"/>
    </row>
    <row r="92" spans="1:6" ht="28.5" hidden="1" customHeight="1" thickBot="1">
      <c r="A92" s="78" t="s">
        <v>151</v>
      </c>
      <c r="B92" s="79" t="s">
        <v>153</v>
      </c>
      <c r="C92" s="103"/>
      <c r="D92" s="93">
        <f>D93</f>
        <v>0</v>
      </c>
      <c r="E92" s="14">
        <f>SUM(E83:E89)</f>
        <v>0</v>
      </c>
      <c r="F92" s="8"/>
    </row>
    <row r="93" spans="1:6" ht="9" hidden="1" customHeight="1" thickBot="1">
      <c r="A93" s="71" t="s">
        <v>171</v>
      </c>
      <c r="B93" s="74" t="s">
        <v>168</v>
      </c>
      <c r="C93" s="92"/>
      <c r="D93" s="92">
        <v>0</v>
      </c>
      <c r="E93" s="15"/>
      <c r="F93" s="8"/>
    </row>
    <row r="94" spans="1:6" ht="46.5" hidden="1" customHeight="1" thickBot="1">
      <c r="A94" s="71" t="s">
        <v>137</v>
      </c>
      <c r="B94" s="80" t="s">
        <v>143</v>
      </c>
      <c r="C94" s="92"/>
      <c r="D94" s="92"/>
      <c r="E94" s="14"/>
      <c r="F94" s="8"/>
    </row>
    <row r="95" spans="1:6" ht="33.75" hidden="1" customHeight="1" thickBot="1">
      <c r="A95" s="71" t="s">
        <v>151</v>
      </c>
      <c r="B95" s="81" t="s">
        <v>184</v>
      </c>
      <c r="C95" s="92">
        <v>0</v>
      </c>
      <c r="D95" s="92">
        <v>0</v>
      </c>
      <c r="E95" s="14"/>
      <c r="F95" s="8"/>
    </row>
    <row r="96" spans="1:6" ht="51" hidden="1" customHeight="1" thickBot="1">
      <c r="A96" s="82" t="s">
        <v>174</v>
      </c>
      <c r="B96" s="81" t="s">
        <v>141</v>
      </c>
      <c r="C96" s="92">
        <v>0</v>
      </c>
      <c r="D96" s="119">
        <v>0</v>
      </c>
      <c r="E96" s="14"/>
      <c r="F96" s="8"/>
    </row>
    <row r="97" spans="1:6" ht="18.75" customHeight="1" thickBot="1">
      <c r="A97" s="83" t="s">
        <v>151</v>
      </c>
      <c r="B97" s="84">
        <v>9.7720225518999994E+19</v>
      </c>
      <c r="C97" s="92">
        <f>C98</f>
        <v>6.08</v>
      </c>
      <c r="D97" s="119">
        <f>D98</f>
        <v>6.08</v>
      </c>
      <c r="E97" s="14"/>
      <c r="F97" s="8"/>
    </row>
    <row r="98" spans="1:6" ht="18" customHeight="1" thickBot="1">
      <c r="A98" s="83" t="s">
        <v>151</v>
      </c>
      <c r="B98" s="84" t="s">
        <v>224</v>
      </c>
      <c r="C98" s="92">
        <f>6080/1000</f>
        <v>6.08</v>
      </c>
      <c r="D98" s="119">
        <f>6080/1000</f>
        <v>6.08</v>
      </c>
      <c r="E98" s="14"/>
      <c r="F98" s="8"/>
    </row>
    <row r="99" spans="1:6" ht="34.5" customHeight="1" thickBot="1">
      <c r="A99" s="83" t="s">
        <v>142</v>
      </c>
      <c r="B99" s="84" t="s">
        <v>209</v>
      </c>
      <c r="C99" s="92">
        <f>SUM(C100)</f>
        <v>5184.5</v>
      </c>
      <c r="D99" s="92">
        <f>D100</f>
        <v>5184.5</v>
      </c>
      <c r="E99" s="30"/>
      <c r="F99" s="8"/>
    </row>
    <row r="100" spans="1:6" ht="31.5" customHeight="1" thickBot="1">
      <c r="A100" s="83" t="s">
        <v>142</v>
      </c>
      <c r="B100" s="84" t="s">
        <v>208</v>
      </c>
      <c r="C100" s="92">
        <f>5184500/1000</f>
        <v>5184.5</v>
      </c>
      <c r="D100" s="119">
        <f>5184500/1000</f>
        <v>5184.5</v>
      </c>
      <c r="F100" s="8"/>
    </row>
    <row r="101" spans="1:6" ht="32.25" hidden="1" customHeight="1" thickBot="1">
      <c r="A101" s="83" t="s">
        <v>166</v>
      </c>
      <c r="B101" s="84" t="s">
        <v>169</v>
      </c>
      <c r="C101" s="92">
        <f>C102</f>
        <v>0</v>
      </c>
      <c r="D101" s="120">
        <f>D102</f>
        <v>0</v>
      </c>
      <c r="F101" s="14"/>
    </row>
    <row r="102" spans="1:6" ht="49.5" hidden="1" customHeight="1" thickBot="1">
      <c r="A102" s="83" t="s">
        <v>166</v>
      </c>
      <c r="B102" s="84" t="s">
        <v>165</v>
      </c>
      <c r="C102" s="92"/>
      <c r="D102" s="120">
        <v>0</v>
      </c>
      <c r="F102" s="18"/>
    </row>
    <row r="103" spans="1:6" ht="33" customHeight="1" thickBot="1">
      <c r="A103" s="83" t="s">
        <v>167</v>
      </c>
      <c r="B103" s="84" t="s">
        <v>207</v>
      </c>
      <c r="C103" s="92">
        <f>365292/1000</f>
        <v>365.29199999999997</v>
      </c>
      <c r="D103" s="119">
        <f>365291.26/1000</f>
        <v>365.29126000000002</v>
      </c>
      <c r="F103" s="18"/>
    </row>
    <row r="104" spans="1:6" ht="23.25" hidden="1" customHeight="1" thickBot="1">
      <c r="A104" s="83" t="s">
        <v>185</v>
      </c>
      <c r="B104" s="84" t="s">
        <v>186</v>
      </c>
      <c r="C104" s="92">
        <v>0</v>
      </c>
      <c r="D104" s="119">
        <v>0</v>
      </c>
      <c r="F104" s="18"/>
    </row>
    <row r="105" spans="1:6" ht="30.75" customHeight="1" thickBot="1">
      <c r="A105" s="83" t="s">
        <v>188</v>
      </c>
      <c r="B105" s="84" t="s">
        <v>206</v>
      </c>
      <c r="C105" s="92">
        <f>1587500/1000</f>
        <v>1587.5</v>
      </c>
      <c r="D105" s="119">
        <f>1587500/1000</f>
        <v>1587.5</v>
      </c>
      <c r="F105" s="18"/>
    </row>
    <row r="106" spans="1:6" ht="30" customHeight="1" thickBot="1">
      <c r="A106" s="83" t="s">
        <v>228</v>
      </c>
      <c r="B106" s="84" t="s">
        <v>227</v>
      </c>
      <c r="C106" s="92">
        <f>600000/1000</f>
        <v>600</v>
      </c>
      <c r="D106" s="119">
        <f>600000/1000</f>
        <v>600</v>
      </c>
      <c r="F106" s="18"/>
    </row>
    <row r="107" spans="1:6" ht="29.25" customHeight="1" thickBot="1">
      <c r="A107" s="83" t="s">
        <v>152</v>
      </c>
      <c r="B107" s="85" t="s">
        <v>205</v>
      </c>
      <c r="C107" s="92">
        <f>4459800/1000</f>
        <v>4459.8</v>
      </c>
      <c r="D107" s="101">
        <f>4459800/1000</f>
        <v>4459.8</v>
      </c>
      <c r="F107" s="14"/>
    </row>
    <row r="108" spans="1:6" ht="15" customHeight="1" thickBot="1">
      <c r="A108" s="78" t="s">
        <v>110</v>
      </c>
      <c r="B108" s="69" t="s">
        <v>204</v>
      </c>
      <c r="C108" s="93">
        <f>C109</f>
        <v>1.7</v>
      </c>
      <c r="D108" s="93">
        <f t="shared" ref="D108:D110" si="0">D109</f>
        <v>1.7</v>
      </c>
      <c r="F108" s="14"/>
    </row>
    <row r="109" spans="1:6" ht="29.25" customHeight="1" thickBot="1">
      <c r="A109" s="71" t="s">
        <v>111</v>
      </c>
      <c r="B109" s="69" t="s">
        <v>203</v>
      </c>
      <c r="C109" s="93">
        <f>C110</f>
        <v>1.7</v>
      </c>
      <c r="D109" s="93">
        <f t="shared" si="0"/>
        <v>1.7</v>
      </c>
      <c r="F109" s="8"/>
    </row>
    <row r="110" spans="1:6" ht="28.5" customHeight="1" thickBot="1">
      <c r="A110" s="71" t="s">
        <v>112</v>
      </c>
      <c r="B110" s="69" t="s">
        <v>202</v>
      </c>
      <c r="C110" s="93">
        <f>C111</f>
        <v>1.7</v>
      </c>
      <c r="D110" s="93">
        <f t="shared" si="0"/>
        <v>1.7</v>
      </c>
      <c r="F110" s="8"/>
    </row>
    <row r="111" spans="1:6" ht="30" customHeight="1" thickBot="1">
      <c r="A111" s="86" t="s">
        <v>122</v>
      </c>
      <c r="B111" s="70" t="s">
        <v>201</v>
      </c>
      <c r="C111" s="92">
        <f>1700/1000</f>
        <v>1.7</v>
      </c>
      <c r="D111" s="100">
        <f>1700/1000</f>
        <v>1.7</v>
      </c>
      <c r="F111" s="8"/>
    </row>
    <row r="112" spans="1:6" ht="12.75" customHeight="1" thickBot="1">
      <c r="A112" s="71" t="s">
        <v>113</v>
      </c>
      <c r="B112" s="69" t="s">
        <v>200</v>
      </c>
      <c r="C112" s="93">
        <f>C114</f>
        <v>3253.5</v>
      </c>
      <c r="D112" s="93">
        <f>D114</f>
        <v>3251.3510000000001</v>
      </c>
      <c r="F112" s="8"/>
    </row>
    <row r="113" spans="1:7" ht="29.25" hidden="1" customHeight="1" thickBot="1">
      <c r="A113" s="71" t="s">
        <v>183</v>
      </c>
      <c r="B113" s="69" t="s">
        <v>182</v>
      </c>
      <c r="C113" s="93">
        <v>0</v>
      </c>
      <c r="D113" s="93">
        <v>0</v>
      </c>
      <c r="F113" s="8"/>
    </row>
    <row r="114" spans="1:7" ht="18" customHeight="1" thickBot="1">
      <c r="A114" s="71" t="s">
        <v>114</v>
      </c>
      <c r="B114" s="69" t="s">
        <v>199</v>
      </c>
      <c r="C114" s="93">
        <f>SUM(C115)</f>
        <v>3253.5</v>
      </c>
      <c r="D114" s="93">
        <f>SUM(D115)</f>
        <v>3251.3510000000001</v>
      </c>
      <c r="F114" s="8"/>
    </row>
    <row r="115" spans="1:7" ht="17.25" customHeight="1" thickBot="1">
      <c r="A115" s="71" t="s">
        <v>115</v>
      </c>
      <c r="B115" s="69" t="s">
        <v>198</v>
      </c>
      <c r="C115" s="93">
        <f>SUM(C116:C125)</f>
        <v>3253.5</v>
      </c>
      <c r="D115" s="93">
        <f>SUM(D116:D125)</f>
        <v>3251.3510000000001</v>
      </c>
      <c r="F115" s="8"/>
    </row>
    <row r="116" spans="1:7" ht="29.25" customHeight="1" thickBot="1">
      <c r="A116" s="71" t="s">
        <v>121</v>
      </c>
      <c r="B116" s="70" t="s">
        <v>216</v>
      </c>
      <c r="C116" s="92">
        <f>100000/1000</f>
        <v>100</v>
      </c>
      <c r="D116" s="101">
        <f>100000/1000</f>
        <v>100</v>
      </c>
      <c r="F116" s="8"/>
    </row>
    <row r="117" spans="1:7" ht="28.5" customHeight="1" thickBot="1">
      <c r="A117" s="71" t="s">
        <v>220</v>
      </c>
      <c r="B117" s="70" t="s">
        <v>219</v>
      </c>
      <c r="C117" s="92">
        <f>6000/1000</f>
        <v>6</v>
      </c>
      <c r="D117" s="101">
        <f>6000/1000</f>
        <v>6</v>
      </c>
      <c r="F117" s="8"/>
    </row>
    <row r="118" spans="1:7" ht="60" hidden="1" customHeight="1" thickBot="1">
      <c r="A118" s="71" t="s">
        <v>140</v>
      </c>
      <c r="B118" s="70" t="s">
        <v>139</v>
      </c>
      <c r="C118" s="92"/>
      <c r="D118" s="92"/>
      <c r="F118" s="8"/>
    </row>
    <row r="119" spans="1:7" ht="29.25" customHeight="1" thickBot="1">
      <c r="A119" s="71" t="s">
        <v>221</v>
      </c>
      <c r="B119" s="70" t="s">
        <v>231</v>
      </c>
      <c r="C119" s="92">
        <f>277000/1000</f>
        <v>277</v>
      </c>
      <c r="D119" s="101">
        <f>277000/1000</f>
        <v>277</v>
      </c>
      <c r="F119" s="8"/>
    </row>
    <row r="120" spans="1:7" ht="36.75" customHeight="1" thickBot="1">
      <c r="A120" s="71" t="s">
        <v>226</v>
      </c>
      <c r="B120" s="70" t="s">
        <v>225</v>
      </c>
      <c r="C120" s="92">
        <f>60000/1000</f>
        <v>60</v>
      </c>
      <c r="D120" s="101">
        <f>60000/1000</f>
        <v>60</v>
      </c>
      <c r="F120" s="8"/>
    </row>
    <row r="121" spans="1:7" ht="39.75" customHeight="1" thickBot="1">
      <c r="A121" s="71" t="s">
        <v>223</v>
      </c>
      <c r="B121" s="70" t="s">
        <v>222</v>
      </c>
      <c r="C121" s="92">
        <f>98000/1000</f>
        <v>98</v>
      </c>
      <c r="D121" s="101">
        <f>98000/1000</f>
        <v>98</v>
      </c>
      <c r="F121" s="8"/>
    </row>
    <row r="122" spans="1:7" ht="60" hidden="1" customHeight="1" thickBot="1">
      <c r="A122" s="71" t="s">
        <v>173</v>
      </c>
      <c r="B122" s="87" t="s">
        <v>172</v>
      </c>
      <c r="C122" s="92">
        <v>0</v>
      </c>
      <c r="D122" s="92">
        <v>0</v>
      </c>
      <c r="F122" s="8"/>
    </row>
    <row r="123" spans="1:7" ht="52.5" hidden="1" customHeight="1" thickBot="1">
      <c r="A123" s="71" t="s">
        <v>164</v>
      </c>
      <c r="B123" s="87" t="s">
        <v>163</v>
      </c>
      <c r="C123" s="92">
        <v>0</v>
      </c>
      <c r="D123" s="92">
        <v>0</v>
      </c>
      <c r="F123" s="8"/>
    </row>
    <row r="124" spans="1:7" ht="35.25" customHeight="1" thickBot="1">
      <c r="A124" s="71" t="s">
        <v>162</v>
      </c>
      <c r="B124" s="88" t="s">
        <v>197</v>
      </c>
      <c r="C124" s="104">
        <f>554500/1000</f>
        <v>554.5</v>
      </c>
      <c r="D124" s="92">
        <f>554460/1000</f>
        <v>554.46</v>
      </c>
      <c r="F124" s="8"/>
    </row>
    <row r="125" spans="1:7" ht="26.25" customHeight="1">
      <c r="A125" s="89" t="s">
        <v>132</v>
      </c>
      <c r="B125" s="88" t="s">
        <v>196</v>
      </c>
      <c r="C125" s="105">
        <f>2158000/1000</f>
        <v>2158</v>
      </c>
      <c r="D125" s="99">
        <f>2155891/1000</f>
        <v>2155.8910000000001</v>
      </c>
      <c r="E125" s="20"/>
      <c r="F125" s="8"/>
      <c r="G125" s="2"/>
    </row>
    <row r="126" spans="1:7" s="2" customFormat="1" ht="13.5" customHeight="1">
      <c r="A126" s="89" t="s">
        <v>133</v>
      </c>
      <c r="B126" s="87" t="s">
        <v>134</v>
      </c>
      <c r="C126" s="99">
        <f>SUM(C127+C129+C128)</f>
        <v>364.33300000000003</v>
      </c>
      <c r="D126" s="99">
        <f>D127+D129+D128</f>
        <v>112.8</v>
      </c>
      <c r="E126" s="14"/>
      <c r="F126" s="14"/>
    </row>
    <row r="127" spans="1:7" s="2" customFormat="1" ht="0.75" hidden="1" customHeight="1">
      <c r="A127" s="78" t="s">
        <v>135</v>
      </c>
      <c r="B127" s="88" t="s">
        <v>136</v>
      </c>
      <c r="C127" s="95">
        <v>0</v>
      </c>
      <c r="D127" s="121">
        <v>0</v>
      </c>
      <c r="E127" s="14"/>
      <c r="F127" s="14"/>
    </row>
    <row r="128" spans="1:7" s="2" customFormat="1" ht="22.5" customHeight="1">
      <c r="A128" s="78" t="s">
        <v>181</v>
      </c>
      <c r="B128" s="88" t="s">
        <v>215</v>
      </c>
      <c r="C128" s="95">
        <f>62800/1000</f>
        <v>62.8</v>
      </c>
      <c r="D128" s="122">
        <f>62800/1000</f>
        <v>62.8</v>
      </c>
      <c r="E128" s="14"/>
      <c r="F128" s="14"/>
      <c r="G128" s="10"/>
    </row>
    <row r="129" spans="1:7" s="9" customFormat="1" ht="15.75" customHeight="1">
      <c r="A129" s="78" t="s">
        <v>150</v>
      </c>
      <c r="B129" s="88" t="s">
        <v>214</v>
      </c>
      <c r="C129" s="95">
        <f>301533/1000</f>
        <v>301.53300000000002</v>
      </c>
      <c r="D129" s="123">
        <f>50000/1000</f>
        <v>50</v>
      </c>
      <c r="E129" s="14"/>
      <c r="F129" s="2"/>
      <c r="G129" s="2"/>
    </row>
    <row r="130" spans="1:7" s="2" customFormat="1" ht="23.25" customHeight="1">
      <c r="A130" s="66" t="s">
        <v>179</v>
      </c>
      <c r="B130" s="67" t="s">
        <v>180</v>
      </c>
      <c r="C130" s="106">
        <f>C131</f>
        <v>0</v>
      </c>
      <c r="D130" s="106">
        <f>D131</f>
        <v>-8.7500000000000008E-3</v>
      </c>
      <c r="E130" s="27"/>
      <c r="F130" s="21"/>
    </row>
    <row r="131" spans="1:7" s="2" customFormat="1" ht="24.75" customHeight="1">
      <c r="A131" s="66" t="s">
        <v>179</v>
      </c>
      <c r="B131" s="67" t="s">
        <v>195</v>
      </c>
      <c r="C131" s="106">
        <v>0</v>
      </c>
      <c r="D131" s="124">
        <f>-8.75/1000</f>
        <v>-8.7500000000000008E-3</v>
      </c>
      <c r="E131" s="27"/>
      <c r="F131" s="21"/>
    </row>
    <row r="132" spans="1:7" s="2" customFormat="1">
      <c r="A132" s="3"/>
      <c r="B132" s="5"/>
      <c r="C132" s="107"/>
      <c r="D132" s="125"/>
      <c r="E132" s="14"/>
    </row>
    <row r="133" spans="1:7" s="2" customFormat="1">
      <c r="A133" s="3"/>
      <c r="B133" s="4"/>
      <c r="C133" s="108"/>
      <c r="D133" s="108"/>
      <c r="E133" s="14"/>
    </row>
    <row r="134" spans="1:7" s="2" customFormat="1">
      <c r="A134" s="3"/>
      <c r="B134" s="5"/>
      <c r="C134" s="109"/>
      <c r="D134" s="108"/>
      <c r="E134" s="14"/>
    </row>
    <row r="135" spans="1:7" s="2" customFormat="1">
      <c r="A135" s="3"/>
      <c r="B135" s="4"/>
      <c r="C135" s="108"/>
      <c r="D135" s="108"/>
      <c r="E135" s="14"/>
    </row>
    <row r="136" spans="1:7" s="2" customFormat="1">
      <c r="A136" s="3"/>
      <c r="B136" s="4"/>
      <c r="C136" s="108"/>
      <c r="D136" s="108"/>
      <c r="E136" s="14"/>
    </row>
    <row r="137" spans="1:7" s="2" customFormat="1">
      <c r="A137" s="3"/>
      <c r="B137" s="5"/>
      <c r="C137" s="109"/>
      <c r="D137" s="108"/>
      <c r="E137" s="14"/>
    </row>
    <row r="138" spans="1:7" s="2" customFormat="1">
      <c r="A138" s="3"/>
      <c r="B138" s="5"/>
      <c r="C138" s="109"/>
      <c r="D138" s="108"/>
      <c r="E138" s="14"/>
    </row>
    <row r="139" spans="1:7" s="2" customFormat="1">
      <c r="A139" s="3"/>
      <c r="B139" s="5"/>
      <c r="C139" s="109"/>
      <c r="D139" s="108"/>
      <c r="E139" s="14"/>
    </row>
    <row r="140" spans="1:7" s="2" customFormat="1">
      <c r="A140" s="3"/>
      <c r="B140" s="5"/>
      <c r="C140" s="109"/>
      <c r="D140" s="108"/>
      <c r="E140" s="14"/>
    </row>
    <row r="141" spans="1:7" s="2" customFormat="1">
      <c r="A141" s="3"/>
      <c r="B141" s="4"/>
      <c r="C141" s="108"/>
      <c r="D141" s="108"/>
      <c r="E141" s="14"/>
    </row>
    <row r="142" spans="1:7" s="2" customFormat="1">
      <c r="A142" s="3"/>
      <c r="B142" s="4"/>
      <c r="C142" s="108"/>
      <c r="D142" s="108"/>
      <c r="E142" s="14"/>
    </row>
    <row r="143" spans="1:7" s="2" customFormat="1">
      <c r="A143" s="12"/>
      <c r="B143" s="5"/>
      <c r="C143" s="110"/>
      <c r="D143" s="108"/>
      <c r="E143" s="14"/>
    </row>
    <row r="144" spans="1:7" s="2" customFormat="1">
      <c r="A144" s="13"/>
      <c r="B144" s="6"/>
      <c r="C144" s="111"/>
      <c r="D144" s="111"/>
      <c r="E144" s="14"/>
    </row>
    <row r="145" spans="1:7" s="2" customFormat="1">
      <c r="A145" s="14"/>
      <c r="C145" s="112"/>
      <c r="D145" s="112"/>
      <c r="E145" s="14"/>
    </row>
    <row r="146" spans="1:7" s="2" customFormat="1">
      <c r="A146" s="14"/>
      <c r="C146" s="112"/>
      <c r="D146" s="112"/>
      <c r="E146" s="14"/>
    </row>
    <row r="147" spans="1:7" s="2" customFormat="1">
      <c r="A147" s="15"/>
      <c r="C147" s="112"/>
      <c r="D147" s="112"/>
      <c r="E147" s="14"/>
    </row>
    <row r="148" spans="1:7" s="2" customFormat="1">
      <c r="A148" s="15"/>
      <c r="C148" s="112"/>
      <c r="D148" s="112"/>
      <c r="E148" s="14"/>
    </row>
    <row r="149" spans="1:7" s="2" customFormat="1">
      <c r="A149" s="15"/>
      <c r="C149" s="112"/>
      <c r="D149" s="112"/>
      <c r="E149" s="14"/>
    </row>
    <row r="150" spans="1:7" s="2" customFormat="1">
      <c r="A150" s="15"/>
      <c r="C150" s="112"/>
      <c r="D150" s="112"/>
      <c r="E150" s="14"/>
    </row>
    <row r="151" spans="1:7" s="2" customFormat="1">
      <c r="A151" s="15"/>
      <c r="C151" s="112"/>
      <c r="D151" s="112"/>
      <c r="E151" s="14"/>
      <c r="G151" s="1"/>
    </row>
    <row r="152" spans="1:7">
      <c r="A152" s="16"/>
    </row>
    <row r="153" spans="1:7" ht="12.75">
      <c r="A153" s="17"/>
    </row>
    <row r="154" spans="1:7">
      <c r="A154" s="14"/>
    </row>
    <row r="155" spans="1:7">
      <c r="A155" s="14"/>
    </row>
    <row r="156" spans="1:7">
      <c r="A156" s="14"/>
    </row>
  </sheetData>
  <mergeCells count="5">
    <mergeCell ref="C1:D1"/>
    <mergeCell ref="C3:D3"/>
    <mergeCell ref="C4:D4"/>
    <mergeCell ref="A6:E6"/>
    <mergeCell ref="C2:D2"/>
  </mergeCells>
  <pageMargins left="0.39370078740157483" right="0.39370078740157483" top="0.39370078740157483" bottom="0.31496062992125984" header="0.39370078740157483" footer="0.11811023622047245"/>
  <pageSetup paperSize="9" scale="60" fitToHeight="7" orientation="landscape" verticalDpi="0" r:id="rId1"/>
  <rowBreaks count="1" manualBreakCount="1">
    <brk id="10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2020-10-01T12:47:41Z</cp:lastPrinted>
  <dcterms:created xsi:type="dcterms:W3CDTF">2017-02-20T06:12:33Z</dcterms:created>
  <dcterms:modified xsi:type="dcterms:W3CDTF">2020-10-01T12:47:43Z</dcterms:modified>
</cp:coreProperties>
</file>